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namedSheetViews/namedSheetView1.xml" ContentType="application/vnd.ms-excel.namedsheetviews+xml"/>
  <Override PartName="/xl/drawings/drawing5.xml" ContentType="application/vnd.openxmlformats-officedocument.drawing+xml"/>
  <Override PartName="/xl/tables/table2.xml" ContentType="application/vnd.openxmlformats-officedocument.spreadsheetml.table+xml"/>
  <Override PartName="/xl/comments3.xml" ContentType="application/vnd.openxmlformats-officedocument.spreadsheetml.comments+xml"/>
  <Override PartName="/xl/drawings/drawing6.xml" ContentType="application/vnd.openxmlformats-officedocument.drawing+xml"/>
  <Override PartName="/xl/tables/table3.xml" ContentType="application/vnd.openxmlformats-officedocument.spreadsheetml.table+xml"/>
  <Override PartName="/xl/comments4.xml" ContentType="application/vnd.openxmlformats-officedocument.spreadsheetml.comments+xml"/>
  <Override PartName="/xl/drawings/drawing7.xml" ContentType="application/vnd.openxmlformats-officedocument.drawing+xml"/>
  <Override PartName="/xl/tables/table4.xml" ContentType="application/vnd.openxmlformats-officedocument.spreadsheetml.table+xml"/>
  <Override PartName="/xl/comments5.xml" ContentType="application/vnd.openxmlformats-officedocument.spreadsheetml.comments+xml"/>
  <Override PartName="/xl/drawings/drawing8.xml" ContentType="application/vnd.openxmlformats-officedocument.drawing+xml"/>
  <Override PartName="/xl/tables/table5.xml" ContentType="application/vnd.openxmlformats-officedocument.spreadsheetml.table+xml"/>
  <Override PartName="/xl/comments6.xml" ContentType="application/vnd.openxmlformats-officedocument.spreadsheetml.comments+xml"/>
  <Override PartName="/xl/drawings/drawing9.xml" ContentType="application/vnd.openxmlformats-officedocument.drawing+xml"/>
  <Override PartName="/xl/tables/table6.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tables/table7.xml" ContentType="application/vnd.openxmlformats-officedocument.spreadsheetml.table+xml"/>
  <Override PartName="/xl/comments8.xml" ContentType="application/vnd.openxmlformats-officedocument.spreadsheetml.comments+xml"/>
  <Override PartName="/xl/drawings/drawing11.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comments9.xml" ContentType="application/vnd.openxmlformats-officedocument.spreadsheetml.comments+xml"/>
  <Override PartName="/xl/drawings/drawing12.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omments10.xml" ContentType="application/vnd.openxmlformats-officedocument.spreadsheetml.comments+xml"/>
  <Override PartName="/xl/threadedComments/threadedComment1.xml" ContentType="application/vnd.ms-excel.threadedcomments+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aptimcorp-my.sharepoint.com/personal/dawn_ellerd_aptim_com/Documents/Documents/Workbook_Calculators/"/>
    </mc:Choice>
  </mc:AlternateContent>
  <xr:revisionPtr revIDLastSave="0" documentId="8_{A659A17A-4E4D-4FA5-82F9-0F4331FC4AFF}" xr6:coauthVersionLast="47" xr6:coauthVersionMax="47" xr10:uidLastSave="{00000000-0000-0000-0000-000000000000}"/>
  <workbookProtection workbookAlgorithmName="SHA-512" workbookHashValue="U63h114T/Ls9B01awBSeNlmrFbIUDPeq0PKbFOoV+6rH5yKTwRx8U9OucLtbOUr358RFFzCFguHzn6nFEhOCRg==" workbookSaltValue="JShIagJTSscaDanIDInkdg==" workbookSpinCount="100000" lockStructure="1"/>
  <bookViews>
    <workbookView xWindow="-120" yWindow="-120" windowWidth="25440" windowHeight="15390" xr2:uid="{82F6A19B-5495-4F11-A89F-59BCA2D50EC3}"/>
  </bookViews>
  <sheets>
    <sheet name="Intro" sheetId="41" r:id="rId1"/>
    <sheet name="Application" sheetId="37" r:id="rId2"/>
    <sheet name="Signature" sheetId="44" r:id="rId3"/>
    <sheet name="HVAC" sheetId="1" r:id="rId4"/>
    <sheet name="Refrigeration" sheetId="27" r:id="rId5"/>
    <sheet name="Com Kitchen" sheetId="46" r:id="rId6"/>
    <sheet name="Window Film" sheetId="56" r:id="rId7"/>
    <sheet name="Efficient Windows" sheetId="59" r:id="rId8"/>
    <sheet name="Misc" sheetId="55" r:id="rId9"/>
    <sheet name="Custom" sheetId="57" r:id="rId10"/>
    <sheet name="Summary" sheetId="26" r:id="rId11"/>
    <sheet name="Change Log" sheetId="60" state="hidden" r:id="rId12"/>
    <sheet name="Completion" sheetId="52" state="hidden" r:id="rId13"/>
    <sheet name="References" sheetId="22" state="hidden" r:id="rId14"/>
    <sheet name="HVAC Calcs" sheetId="58" state="hidden" r:id="rId15"/>
    <sheet name="Caps" sheetId="51" state="hidden" r:id="rId16"/>
    <sheet name="QC" sheetId="33" state="hidden" r:id="rId17"/>
    <sheet name="Proj Data" sheetId="53" state="hidden" r:id="rId18"/>
    <sheet name="APTracks Export Data" sheetId="28" state="hidden" r:id="rId19"/>
  </sheets>
  <externalReferences>
    <externalReference r:id="rId20"/>
    <externalReference r:id="rId21"/>
    <externalReference r:id="rId22"/>
  </externalReferences>
  <definedNames>
    <definedName name="_xlnm._FilterDatabase" localSheetId="18" hidden="1">'APTracks Export Data'!$A$1:$M$212</definedName>
    <definedName name="Gross_Proj_Cost" localSheetId="11">[1]Summary!$C$11</definedName>
    <definedName name="Gross_Proj_Cost">Summary!$C$11</definedName>
    <definedName name="HighTemp">[2]Lookups!$V$3:$V$4</definedName>
    <definedName name="Input_AvgkWhRate" localSheetId="11">'[2]Fillable application &amp; instruct'!$F$20</definedName>
    <definedName name="Input_AvgkWhRate">Application!$F$27</definedName>
    <definedName name="Input_BldgType" localSheetId="11">'[2]Fillable application &amp; instruct'!$F$21</definedName>
    <definedName name="Input_BldgType">Application!$F$28</definedName>
    <definedName name="Input_Bonus">QC!$F$18</definedName>
    <definedName name="Input_BonusMeasureNumber" localSheetId="11">[2]QC!$G$19</definedName>
    <definedName name="Input_BonusMeasureNumber">QC!$G$18</definedName>
    <definedName name="Input_HVACType">Application!$F$29</definedName>
    <definedName name="Input_ProgramType" localSheetId="11">'[2]Fillable application &amp; instruct'!$F$23</definedName>
    <definedName name="Input_ProgramType">Application!$F$10</definedName>
    <definedName name="Input_ProjectNumber" localSheetId="11">[2]QC!$B$1</definedName>
    <definedName name="Input_ProjectNumber">QC!$B$1</definedName>
    <definedName name="Input_Usage" localSheetId="11">[2]QC!$B$2</definedName>
    <definedName name="Input_Usage">QC!$B$2</definedName>
    <definedName name="List_ACUnitMeasures">[2]Lookups!$J$48:$J$52</definedName>
    <definedName name="List_Biz_Class" localSheetId="11">[1]References!$Z$4:$Z$10</definedName>
    <definedName name="List_Biz_Class">References!$Z$4:$Z$10</definedName>
    <definedName name="List_Bldg_Types" localSheetId="11">[1]References!$AH$4:$AH$36</definedName>
    <definedName name="List_Bldg_Types">References!$AH$4:$AH$36</definedName>
    <definedName name="List_BldgTypes">[2]Lookups!$J$14:$J$25</definedName>
    <definedName name="List_ComKitch_Measure" localSheetId="11">[1]References!$AP$4:$AP$10</definedName>
    <definedName name="List_ComKitch_Measure">References!$AP$4:$AP$10</definedName>
    <definedName name="List_Contacts" localSheetId="11">[1]References!$AK$4:$AK$7</definedName>
    <definedName name="List_Contacts">References!$AK$4:$AK$7</definedName>
    <definedName name="List_ConvectionOven">[2]Lookups!$V$7:$V$8</definedName>
    <definedName name="List_CurtainType">[2]Lookups!$T$31:$T$37</definedName>
    <definedName name="List_Custom_Class" localSheetId="11">[1]References!$AW$4:$AW$41</definedName>
    <definedName name="List_Custom_Class">References!$AW$4:$AW$41</definedName>
    <definedName name="List_Custom_HVAC" localSheetId="11">[1]References!$AX$4:$AX$6</definedName>
    <definedName name="List_Custom_HVAC">References!$AX$4:$AX$6</definedName>
    <definedName name="List_Custom_Type" localSheetId="11">[1]References!$AV$4:$AV$6</definedName>
    <definedName name="List_Custom_Type">References!$AV$4:$AV$6</definedName>
    <definedName name="List_CustomClass">[2]Lookups!$AA$7:$AA$16</definedName>
    <definedName name="List_CustomTypes">[2]Lookups!$AA$3:$AA$4</definedName>
    <definedName name="List_DBE_Option" localSheetId="11">[1]References!$AD$4:$AD$14</definedName>
    <definedName name="List_DBE_Option">References!$AD$4:$AD$14</definedName>
    <definedName name="List_EffWindow_Direction" localSheetId="11">[1]References!$AU$4:$AU$7</definedName>
    <definedName name="List_EffWindow_Direction">References!$AU$4:$AU$7</definedName>
    <definedName name="List_EffWindow_Measure" localSheetId="11">[1]References!$AR$4:$AR$5</definedName>
    <definedName name="List_EffWindow_Measure">References!$AR$4:$AR$5</definedName>
    <definedName name="List_HPUnitMeasures">[2]Lookups!$J$55:$J$59</definedName>
    <definedName name="List_HVAC" localSheetId="11">[1]References!$AI$4:$AI$10</definedName>
    <definedName name="List_HVAC">References!$AI$4:$AI$10</definedName>
    <definedName name="List_HVAC_Measure" localSheetId="11">[1]References!$AN$4:$AN$13</definedName>
    <definedName name="List_HVAC_Measure">References!$AN$4:$AN$13</definedName>
    <definedName name="List_HVACTypes">[2]Lookups!$B$58:$B$64</definedName>
    <definedName name="List_Install_Type" localSheetId="11">[1]References!$AF$4:$AF$7</definedName>
    <definedName name="List_Install_Type">References!$AF$4:$AF$7</definedName>
    <definedName name="List_LowFlowBldgTypes">[2]Lookups!$Y$3:$Y$10</definedName>
    <definedName name="List_Misc_Measure" localSheetId="11">[1]References!$AS$4:$AS$7</definedName>
    <definedName name="List_Misc_Measure">References!$AS$4:$AS$7</definedName>
    <definedName name="List_Ownership">References!$AG$4:$AG$5</definedName>
    <definedName name="List_PC">'[2]Savings Lookups'!$AE$11:$AE$13</definedName>
    <definedName name="List_Program_Names" localSheetId="11">[1]!Table_Programs_Rates[List_Programs]</definedName>
    <definedName name="List_Program_Names" localSheetId="7">Table_Programs_Rates[List_Programs]</definedName>
    <definedName name="List_Program_Names">Table_Programs_Rates[List_Programs]</definedName>
    <definedName name="List_ProgramNames">[2]Lookups!$B$3:$B$4</definedName>
    <definedName name="List_Project_Stage" localSheetId="11">[1]References!$AE$4:$AE$5</definedName>
    <definedName name="List_Project_Stage">References!$AE$4:$AE$5</definedName>
    <definedName name="List_ProjectStage">[2]Lookups!$B$54:$B$55</definedName>
    <definedName name="List_PRSV">[2]Lookups!$Y$13:$Y$18</definedName>
    <definedName name="List_Refrig_Measure" localSheetId="11">[1]References!$AO$4:$AO$18</definedName>
    <definedName name="List_Refrig_Measure">References!$AO$4:$AO$18</definedName>
    <definedName name="List_Refrigeration">[2]Lookups!$T$3:$T$4</definedName>
    <definedName name="List_RefrSizes">[2]Lookups!$T$21:$T$24</definedName>
    <definedName name="List_Showerhead">[2]Lookups!$Y$21:$Y$26</definedName>
    <definedName name="List_Source" localSheetId="11">[1]References!$AL$4:$AL$13</definedName>
    <definedName name="List_Source">References!$AL$4:$AL$13</definedName>
    <definedName name="List_StripCurtainBaseline">[2]Lookups!$T$40:$T$42</definedName>
    <definedName name="List_Tax_Entity" localSheetId="11">[1]References!$AA$4:$AA$9</definedName>
    <definedName name="List_Tax_Entity">References!$AA$4:$AA$9</definedName>
    <definedName name="List_Water_Heating" localSheetId="11">[1]References!$AJ$4:$AJ$10</definedName>
    <definedName name="List_Water_Heating">References!$AJ$4:$AJ$10</definedName>
    <definedName name="List_WinFilm_Direction" localSheetId="11">[1]References!$AT$4:$AT$6</definedName>
    <definedName name="List_WinFilm_Direction">References!$AT$4:$AT$6</definedName>
    <definedName name="List_WinFilm_Measure" localSheetId="11">[1]References!$AQ$4:$AQ$6</definedName>
    <definedName name="List_WinFilm_Measure">References!$AQ$4:$AQ$6</definedName>
    <definedName name="List_Y_N">References!$AC$4:$AC$5</definedName>
    <definedName name="List_Y_N_U" localSheetId="11">[1]References!$AB$4:$AB$6</definedName>
    <definedName name="List_Y_N_U">References!$AB$4:$AB$6</definedName>
    <definedName name="Net_Project_Cost" localSheetId="11">[1]Summary!$E$11</definedName>
    <definedName name="Net_Project_Cost">Summary!$E$11</definedName>
    <definedName name="ProgramNumber">[3]Library!$R$3</definedName>
    <definedName name="Project_Energy_Savings" localSheetId="11">[1]Summary!$F$11</definedName>
    <definedName name="Project_Energy_Savings">Summary!$F$11</definedName>
    <definedName name="Subtotal_Bonus">[2]Summary!#REF!</definedName>
    <definedName name="Subtotal_CustomIncentive" localSheetId="11">[2]QC!$C$19</definedName>
    <definedName name="Subtotal_CustomIncentive">QC!$C$18</definedName>
    <definedName name="Subtotal_Incentive">[2]QC!$D$19</definedName>
    <definedName name="Subtotal_OtherCosts" localSheetId="11">SUM([1]Summary!#REF!)</definedName>
    <definedName name="Subtotal_OtherCosts">SUM(Summary!#REF!)</definedName>
    <definedName name="Subtotal_PrescriptiveIncentive">[2]QC!$B$19</definedName>
    <definedName name="Table_ACHPFactors">[2]Lookups!$J$3:$R$11</definedName>
    <definedName name="Table_ACTU">'[2]Savings Lookups'!$B$23:$F$25</definedName>
    <definedName name="Table_ACTUFactors">[2]Lookups!$J$27:$P$30</definedName>
    <definedName name="Table_Aerators">'[2]Savings Lookups'!$U$2:$W$10</definedName>
    <definedName name="Table_APS">'[2]Savings Lookups'!$AE$6:$AH$8</definedName>
    <definedName name="Table_ASHC">'[2]Savings Lookups'!$H$11:$J$14</definedName>
    <definedName name="Table_ChillerFactors">[2]Lookups!$J$33:$P$43</definedName>
    <definedName name="Table_Chillers">'[2]Savings Lookups'!$B$30:$D$39</definedName>
    <definedName name="Table_CombinationOven">'[2]Savings Lookups'!$N$33:$P$35</definedName>
    <definedName name="Table_ConvectionOven">'[2]Savings Lookups'!$N$28:$P$30</definedName>
    <definedName name="Table_CustomMeasureNames">[2]Lookups!$AC$2:$AD$111</definedName>
    <definedName name="Table_Dishwashers">'[2]Savings Lookups'!$N$2:$S$25</definedName>
    <definedName name="Table_DuctSealing">'[2]Savings Lookups'!$B$47:$D$48</definedName>
    <definedName name="Table_ECMHVACFan">'[2]Savings Lookups'!$B$42:$D$42</definedName>
    <definedName name="Table_ECMRefrFan">'[2]Savings Lookups'!$H$2:$J$4</definedName>
    <definedName name="Table_EFLH">[2]Lookups!$J$13:$M$25</definedName>
    <definedName name="Table_ESRefrigerators">'[2]Savings Lookups'!$H$27:$L$35</definedName>
    <definedName name="Table_EvapFanControls">'[2]Savings Lookups'!$H$6:$J$9</definedName>
    <definedName name="Table_GREM">'[2]Savings Lookups'!$B$44:$D$45</definedName>
    <definedName name="Table_IceMaker">'[2]Savings Lookups'!$N$44:$P$50</definedName>
    <definedName name="Table_Measures">[2]Lookups!$B$6:$G$51</definedName>
    <definedName name="Table_NightCovers">'[2]Savings Lookups'!$H$16:$J$25</definedName>
    <definedName name="Table_PCPowerMgmt">'[2]Savings Lookups'!$AE$10:$AG$13</definedName>
    <definedName name="Table_PRSV">'[2]Savings Lookups'!$U$43:$W$49</definedName>
    <definedName name="Table_RTUFactors">[2]Lookups!$J$3:$M$11</definedName>
    <definedName name="Table_Showerhead">'[2]Savings Lookups'!$U$78:$W$84</definedName>
    <definedName name="Table_SteamCooker">'[2]Savings Lookups'!$N$37:$P$41</definedName>
    <definedName name="Table_StripCurtains">'[2]Savings Lookups'!$H$37:$L$58</definedName>
    <definedName name="Total_Incentive" localSheetId="11">[1]Summary!$D$11</definedName>
    <definedName name="Total_Incentive">Summary!$D$11</definedName>
    <definedName name="Total_ProjectCost">[2]Summary!$C$12</definedName>
    <definedName name="Value_Application_Version" localSheetId="11">[1]References!$B$8</definedName>
    <definedName name="Value_Application_Version">References!$B$8</definedName>
    <definedName name="Value_Bonus_Rate">References!$B$9</definedName>
    <definedName name="Value_CalcVersion">'[2]Fillable application &amp; instruct'!$J$17</definedName>
    <definedName name="Value_Cus_IncentRate" localSheetId="11">[1]References!$B$6</definedName>
    <definedName name="Value_Cus_IncentRate">References!$B$6</definedName>
    <definedName name="Value_ExitSign_BaselineW">25.1</definedName>
    <definedName name="Value_ExitSign_LEDW">3</definedName>
    <definedName name="Value_FastTrack_Limit">References!$B$5</definedName>
    <definedName name="Value_LtgControls_CF">0.26</definedName>
    <definedName name="Value_Max_Incentive">[2]QC!$G$21</definedName>
    <definedName name="Value_Measure_CAP">References!$B$4</definedName>
    <definedName name="Value_Project_CAP" localSheetId="11">[1]References!$B$3</definedName>
    <definedName name="Value_Project_CAP">References!$B$3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26" l="1"/>
  <c r="C15" i="26"/>
  <c r="C14" i="26"/>
  <c r="S5" i="59" l="1"/>
  <c r="C5" i="59" s="1"/>
  <c r="S6" i="59"/>
  <c r="S7" i="59"/>
  <c r="S8" i="59"/>
  <c r="S9" i="59"/>
  <c r="S10" i="59"/>
  <c r="S11" i="59"/>
  <c r="S12" i="59"/>
  <c r="S13" i="59"/>
  <c r="S14" i="59"/>
  <c r="S15" i="59"/>
  <c r="S16" i="59"/>
  <c r="S17" i="59"/>
  <c r="S18" i="59"/>
  <c r="S19" i="59"/>
  <c r="S20" i="59"/>
  <c r="S21" i="59"/>
  <c r="S22" i="59"/>
  <c r="S23" i="59"/>
  <c r="S24" i="59"/>
  <c r="S25" i="59"/>
  <c r="S26" i="59"/>
  <c r="S27" i="59"/>
  <c r="S28" i="59"/>
  <c r="S29" i="59"/>
  <c r="S30" i="59"/>
  <c r="S31" i="59"/>
  <c r="S32" i="59"/>
  <c r="S33" i="59"/>
  <c r="S34" i="59"/>
  <c r="S16" i="22"/>
  <c r="S5" i="56"/>
  <c r="C5" i="56" s="1"/>
  <c r="S21" i="22"/>
  <c r="S22" i="22"/>
  <c r="S23" i="22"/>
  <c r="S20" i="22"/>
  <c r="C10" i="59" s="1"/>
  <c r="S17" i="22"/>
  <c r="S18" i="22"/>
  <c r="S19" i="22"/>
  <c r="B38" i="59"/>
  <c r="B3" i="58"/>
  <c r="X4" i="22"/>
  <c r="X5" i="22"/>
  <c r="D29" i="52"/>
  <c r="D28" i="52"/>
  <c r="I5" i="58"/>
  <c r="I6" i="58"/>
  <c r="I7" i="58"/>
  <c r="I10" i="58"/>
  <c r="I11" i="58"/>
  <c r="I12" i="58"/>
  <c r="I13" i="58"/>
  <c r="I14" i="58"/>
  <c r="I15" i="58"/>
  <c r="I16" i="58"/>
  <c r="I17" i="58"/>
  <c r="I18" i="58"/>
  <c r="I19" i="58"/>
  <c r="I20" i="58"/>
  <c r="I21" i="58"/>
  <c r="I22" i="58"/>
  <c r="I23" i="58"/>
  <c r="I24" i="58"/>
  <c r="I25" i="58"/>
  <c r="I26" i="58"/>
  <c r="I27" i="58"/>
  <c r="I28" i="58"/>
  <c r="I29" i="58"/>
  <c r="I30" i="58"/>
  <c r="I31" i="58"/>
  <c r="I32" i="58"/>
  <c r="I33" i="58"/>
  <c r="I34" i="58"/>
  <c r="I35" i="58"/>
  <c r="I36" i="58"/>
  <c r="I37" i="58"/>
  <c r="I38" i="58"/>
  <c r="I39" i="58"/>
  <c r="I40" i="58"/>
  <c r="I41" i="58"/>
  <c r="I42" i="58"/>
  <c r="I43" i="58"/>
  <c r="I44" i="58"/>
  <c r="I45" i="58"/>
  <c r="I46" i="58"/>
  <c r="I47" i="58"/>
  <c r="I48" i="58"/>
  <c r="I49" i="58"/>
  <c r="I50" i="58"/>
  <c r="I51" i="58"/>
  <c r="I52" i="58"/>
  <c r="H5" i="58"/>
  <c r="H6" i="58"/>
  <c r="H7" i="58"/>
  <c r="H9" i="58"/>
  <c r="H10" i="58"/>
  <c r="H11" i="58"/>
  <c r="H12" i="58"/>
  <c r="H13" i="58"/>
  <c r="H14" i="58"/>
  <c r="H15" i="58"/>
  <c r="H16" i="58"/>
  <c r="H17" i="58"/>
  <c r="H18" i="58"/>
  <c r="H19" i="58"/>
  <c r="H20" i="58"/>
  <c r="H21" i="58"/>
  <c r="H22" i="58"/>
  <c r="H23" i="58"/>
  <c r="H24" i="58"/>
  <c r="H25" i="58"/>
  <c r="H26" i="58"/>
  <c r="H27" i="58"/>
  <c r="H28" i="58"/>
  <c r="H29" i="58"/>
  <c r="H30" i="58"/>
  <c r="H31" i="58"/>
  <c r="H32" i="58"/>
  <c r="H33" i="58"/>
  <c r="H34" i="58"/>
  <c r="H35" i="58"/>
  <c r="H36" i="58"/>
  <c r="H37" i="58"/>
  <c r="H38" i="58"/>
  <c r="H39" i="58"/>
  <c r="H40" i="58"/>
  <c r="H41" i="58"/>
  <c r="H42" i="58"/>
  <c r="H43" i="58"/>
  <c r="H44" i="58"/>
  <c r="H45" i="58"/>
  <c r="H46" i="58"/>
  <c r="H47" i="58"/>
  <c r="H48" i="58"/>
  <c r="H49" i="58"/>
  <c r="H50" i="58"/>
  <c r="H51" i="58"/>
  <c r="H52" i="58"/>
  <c r="B4" i="58"/>
  <c r="D4" i="58"/>
  <c r="E4" i="58"/>
  <c r="B5" i="58"/>
  <c r="C5" i="58"/>
  <c r="D5" i="58"/>
  <c r="E5" i="58"/>
  <c r="F5" i="58"/>
  <c r="B6" i="58"/>
  <c r="C6" i="58"/>
  <c r="D6" i="58"/>
  <c r="E6" i="58"/>
  <c r="F6" i="58"/>
  <c r="B7" i="58"/>
  <c r="C7" i="58"/>
  <c r="D7" i="58"/>
  <c r="E7" i="58"/>
  <c r="F7" i="58"/>
  <c r="B8" i="58"/>
  <c r="C8" i="58"/>
  <c r="D8" i="58"/>
  <c r="E8" i="58"/>
  <c r="F8" i="58"/>
  <c r="B9" i="58"/>
  <c r="C9" i="58"/>
  <c r="I9" i="58" s="1"/>
  <c r="D9" i="58"/>
  <c r="E9" i="58"/>
  <c r="F9" i="58"/>
  <c r="B10" i="58"/>
  <c r="C10" i="58"/>
  <c r="D10" i="58"/>
  <c r="E10" i="58"/>
  <c r="F10" i="58"/>
  <c r="B11" i="58"/>
  <c r="C11" i="58"/>
  <c r="D11" i="58"/>
  <c r="E11" i="58"/>
  <c r="F11" i="58"/>
  <c r="B12" i="58"/>
  <c r="C12" i="58"/>
  <c r="D12" i="58"/>
  <c r="E12" i="58"/>
  <c r="F12" i="58"/>
  <c r="B13" i="58"/>
  <c r="C13" i="58"/>
  <c r="D13" i="58"/>
  <c r="E13" i="58"/>
  <c r="F13" i="58"/>
  <c r="B14" i="58"/>
  <c r="C14" i="58"/>
  <c r="D14" i="58"/>
  <c r="E14" i="58"/>
  <c r="F14" i="58"/>
  <c r="B15" i="58"/>
  <c r="C15" i="58"/>
  <c r="D15" i="58"/>
  <c r="E15" i="58"/>
  <c r="F15" i="58"/>
  <c r="B16" i="58"/>
  <c r="C16" i="58"/>
  <c r="D16" i="58"/>
  <c r="E16" i="58"/>
  <c r="F16" i="58"/>
  <c r="B17" i="58"/>
  <c r="C17" i="58"/>
  <c r="D17" i="58"/>
  <c r="E17" i="58"/>
  <c r="F17" i="58"/>
  <c r="B18" i="58"/>
  <c r="C18" i="58"/>
  <c r="D18" i="58"/>
  <c r="E18" i="58"/>
  <c r="F18" i="58"/>
  <c r="B19" i="58"/>
  <c r="C19" i="58"/>
  <c r="D19" i="58"/>
  <c r="E19" i="58"/>
  <c r="F19" i="58"/>
  <c r="B20" i="58"/>
  <c r="C20" i="58"/>
  <c r="D20" i="58"/>
  <c r="E20" i="58"/>
  <c r="F20" i="58"/>
  <c r="B21" i="58"/>
  <c r="C21" i="58"/>
  <c r="D21" i="58"/>
  <c r="E21" i="58"/>
  <c r="F21" i="58"/>
  <c r="B22" i="58"/>
  <c r="C22" i="58"/>
  <c r="D22" i="58"/>
  <c r="E22" i="58"/>
  <c r="F22" i="58"/>
  <c r="B23" i="58"/>
  <c r="C23" i="58"/>
  <c r="D23" i="58"/>
  <c r="E23" i="58"/>
  <c r="F23" i="58"/>
  <c r="B24" i="58"/>
  <c r="C24" i="58"/>
  <c r="D24" i="58"/>
  <c r="E24" i="58"/>
  <c r="F24" i="58"/>
  <c r="B25" i="58"/>
  <c r="C25" i="58"/>
  <c r="D25" i="58"/>
  <c r="E25" i="58"/>
  <c r="F25" i="58"/>
  <c r="B26" i="58"/>
  <c r="C26" i="58"/>
  <c r="D26" i="58"/>
  <c r="E26" i="58"/>
  <c r="F26" i="58"/>
  <c r="B27" i="58"/>
  <c r="C27" i="58"/>
  <c r="D27" i="58"/>
  <c r="E27" i="58"/>
  <c r="F27" i="58"/>
  <c r="B28" i="58"/>
  <c r="C28" i="58"/>
  <c r="D28" i="58"/>
  <c r="E28" i="58"/>
  <c r="F28" i="58"/>
  <c r="B29" i="58"/>
  <c r="C29" i="58"/>
  <c r="D29" i="58"/>
  <c r="E29" i="58"/>
  <c r="F29" i="58"/>
  <c r="B30" i="58"/>
  <c r="C30" i="58"/>
  <c r="D30" i="58"/>
  <c r="E30" i="58"/>
  <c r="F30" i="58"/>
  <c r="B31" i="58"/>
  <c r="C31" i="58"/>
  <c r="D31" i="58"/>
  <c r="E31" i="58"/>
  <c r="F31" i="58"/>
  <c r="B32" i="58"/>
  <c r="C32" i="58"/>
  <c r="D32" i="58"/>
  <c r="E32" i="58"/>
  <c r="F32" i="58"/>
  <c r="B33" i="58"/>
  <c r="C33" i="58"/>
  <c r="D33" i="58"/>
  <c r="E33" i="58"/>
  <c r="F33" i="58"/>
  <c r="B34" i="58"/>
  <c r="C34" i="58"/>
  <c r="D34" i="58"/>
  <c r="E34" i="58"/>
  <c r="F34" i="58"/>
  <c r="B35" i="58"/>
  <c r="C35" i="58"/>
  <c r="D35" i="58"/>
  <c r="E35" i="58"/>
  <c r="F35" i="58"/>
  <c r="B36" i="58"/>
  <c r="C36" i="58"/>
  <c r="D36" i="58"/>
  <c r="E36" i="58"/>
  <c r="F36" i="58"/>
  <c r="B37" i="58"/>
  <c r="C37" i="58"/>
  <c r="D37" i="58"/>
  <c r="E37" i="58"/>
  <c r="F37" i="58"/>
  <c r="B38" i="58"/>
  <c r="C38" i="58"/>
  <c r="D38" i="58"/>
  <c r="E38" i="58"/>
  <c r="F38" i="58"/>
  <c r="B39" i="58"/>
  <c r="C39" i="58"/>
  <c r="D39" i="58"/>
  <c r="E39" i="58"/>
  <c r="F39" i="58"/>
  <c r="B40" i="58"/>
  <c r="C40" i="58"/>
  <c r="D40" i="58"/>
  <c r="E40" i="58"/>
  <c r="F40" i="58"/>
  <c r="B41" i="58"/>
  <c r="C41" i="58"/>
  <c r="D41" i="58"/>
  <c r="E41" i="58"/>
  <c r="F41" i="58"/>
  <c r="B42" i="58"/>
  <c r="C42" i="58"/>
  <c r="D42" i="58"/>
  <c r="E42" i="58"/>
  <c r="F42" i="58"/>
  <c r="B43" i="58"/>
  <c r="C43" i="58"/>
  <c r="D43" i="58"/>
  <c r="E43" i="58"/>
  <c r="F43" i="58"/>
  <c r="B44" i="58"/>
  <c r="C44" i="58"/>
  <c r="D44" i="58"/>
  <c r="E44" i="58"/>
  <c r="F44" i="58"/>
  <c r="B45" i="58"/>
  <c r="C45" i="58"/>
  <c r="D45" i="58"/>
  <c r="E45" i="58"/>
  <c r="F45" i="58"/>
  <c r="B46" i="58"/>
  <c r="C46" i="58"/>
  <c r="D46" i="58"/>
  <c r="E46" i="58"/>
  <c r="F46" i="58"/>
  <c r="B47" i="58"/>
  <c r="C47" i="58"/>
  <c r="D47" i="58"/>
  <c r="E47" i="58"/>
  <c r="F47" i="58"/>
  <c r="B48" i="58"/>
  <c r="C48" i="58"/>
  <c r="D48" i="58"/>
  <c r="E48" i="58"/>
  <c r="F48" i="58"/>
  <c r="B49" i="58"/>
  <c r="C49" i="58"/>
  <c r="D49" i="58"/>
  <c r="E49" i="58"/>
  <c r="F49" i="58"/>
  <c r="B50" i="58"/>
  <c r="C50" i="58"/>
  <c r="D50" i="58"/>
  <c r="E50" i="58"/>
  <c r="F50" i="58"/>
  <c r="B51" i="58"/>
  <c r="C51" i="58"/>
  <c r="D51" i="58"/>
  <c r="E51" i="58"/>
  <c r="F51" i="58"/>
  <c r="B52" i="58"/>
  <c r="C52" i="58"/>
  <c r="D52" i="58"/>
  <c r="E52" i="58"/>
  <c r="F52" i="58"/>
  <c r="F3" i="58"/>
  <c r="E3" i="58"/>
  <c r="D3" i="58"/>
  <c r="C3" i="58"/>
  <c r="N5" i="22"/>
  <c r="L5" i="22"/>
  <c r="L4" i="22"/>
  <c r="K5" i="22"/>
  <c r="K4" i="22"/>
  <c r="L7" i="22"/>
  <c r="K7" i="22"/>
  <c r="L6" i="22"/>
  <c r="K6" i="22"/>
  <c r="C6" i="59" l="1"/>
  <c r="C21" i="59"/>
  <c r="C32" i="59"/>
  <c r="C8" i="59"/>
  <c r="M34" i="59"/>
  <c r="M30" i="59"/>
  <c r="M26" i="59"/>
  <c r="M22" i="59"/>
  <c r="M18" i="59"/>
  <c r="M14" i="59"/>
  <c r="M10" i="59"/>
  <c r="M6" i="59"/>
  <c r="N32" i="59"/>
  <c r="N28" i="59"/>
  <c r="N24" i="59"/>
  <c r="N20" i="59"/>
  <c r="N16" i="59"/>
  <c r="N12" i="59"/>
  <c r="N8" i="59"/>
  <c r="C7" i="59"/>
  <c r="M33" i="59"/>
  <c r="M29" i="59"/>
  <c r="M25" i="59"/>
  <c r="M21" i="59"/>
  <c r="M17" i="59"/>
  <c r="M13" i="59"/>
  <c r="M9" i="59"/>
  <c r="M5" i="59"/>
  <c r="N31" i="59"/>
  <c r="N27" i="59"/>
  <c r="N23" i="59"/>
  <c r="N19" i="59"/>
  <c r="N15" i="59"/>
  <c r="N11" i="59"/>
  <c r="N7" i="59"/>
  <c r="M32" i="59"/>
  <c r="M28" i="59"/>
  <c r="M24" i="59"/>
  <c r="M20" i="59"/>
  <c r="M16" i="59"/>
  <c r="M12" i="59"/>
  <c r="M8" i="59"/>
  <c r="N34" i="59"/>
  <c r="N30" i="59"/>
  <c r="N26" i="59"/>
  <c r="N22" i="59"/>
  <c r="N18" i="59"/>
  <c r="N14" i="59"/>
  <c r="N10" i="59"/>
  <c r="N6" i="59"/>
  <c r="C30" i="59"/>
  <c r="M31" i="59"/>
  <c r="M27" i="59"/>
  <c r="M23" i="59"/>
  <c r="M19" i="59"/>
  <c r="M15" i="59"/>
  <c r="M11" i="59"/>
  <c r="M7" i="59"/>
  <c r="N33" i="59"/>
  <c r="N29" i="59"/>
  <c r="N25" i="59"/>
  <c r="N21" i="59"/>
  <c r="N17" i="59"/>
  <c r="N13" i="59"/>
  <c r="N9" i="59"/>
  <c r="N5" i="59"/>
  <c r="C19" i="59"/>
  <c r="C22" i="59"/>
  <c r="C26" i="59"/>
  <c r="C25" i="59"/>
  <c r="C12" i="59"/>
  <c r="C34" i="59"/>
  <c r="C29" i="59"/>
  <c r="C24" i="59"/>
  <c r="C14" i="59"/>
  <c r="C9" i="59"/>
  <c r="C33" i="59"/>
  <c r="C28" i="59"/>
  <c r="F5" i="59"/>
  <c r="C18" i="59"/>
  <c r="C11" i="59"/>
  <c r="C31" i="59"/>
  <c r="C27" i="59"/>
  <c r="C23" i="59"/>
  <c r="C17" i="59"/>
  <c r="C13" i="59"/>
  <c r="C20" i="59"/>
  <c r="C16" i="59"/>
  <c r="C15" i="59"/>
  <c r="I3" i="58"/>
  <c r="H8" i="58"/>
  <c r="H3" i="58"/>
  <c r="I8" i="58"/>
  <c r="Q249" i="22"/>
  <c r="N249" i="22"/>
  <c r="Q246" i="22"/>
  <c r="N246" i="22"/>
  <c r="Q243" i="22"/>
  <c r="N243" i="22"/>
  <c r="Q240" i="22"/>
  <c r="N240" i="22"/>
  <c r="Q237" i="22"/>
  <c r="N237" i="22"/>
  <c r="Q234" i="22"/>
  <c r="N234" i="22"/>
  <c r="Q231" i="22"/>
  <c r="N231" i="22"/>
  <c r="Q228" i="22"/>
  <c r="L13" i="22" s="1"/>
  <c r="N228" i="22"/>
  <c r="K13" i="22" s="1"/>
  <c r="Q225" i="22"/>
  <c r="N225" i="22"/>
  <c r="Q222" i="22"/>
  <c r="N222" i="22"/>
  <c r="Q215" i="22"/>
  <c r="N215" i="22"/>
  <c r="Q211" i="22"/>
  <c r="N211" i="22"/>
  <c r="Q207" i="22"/>
  <c r="N207" i="22"/>
  <c r="Q203" i="22"/>
  <c r="N203" i="22"/>
  <c r="Q199" i="22"/>
  <c r="N199" i="22"/>
  <c r="Q195" i="22"/>
  <c r="N195" i="22"/>
  <c r="Q191" i="22"/>
  <c r="N191" i="22"/>
  <c r="Q187" i="22"/>
  <c r="L12" i="22" s="1"/>
  <c r="N187" i="22"/>
  <c r="K12" i="22" s="1"/>
  <c r="Q183" i="22"/>
  <c r="N183" i="22"/>
  <c r="Q179" i="22"/>
  <c r="N179" i="22"/>
  <c r="S174" i="22"/>
  <c r="P174" i="22"/>
  <c r="S172" i="22"/>
  <c r="P172" i="22"/>
  <c r="S170" i="22"/>
  <c r="P170" i="22"/>
  <c r="S168" i="22"/>
  <c r="P168" i="22"/>
  <c r="S166" i="22"/>
  <c r="P166" i="22"/>
  <c r="S164" i="22"/>
  <c r="P164" i="22"/>
  <c r="S162" i="22"/>
  <c r="P162" i="22"/>
  <c r="S160" i="22"/>
  <c r="L11" i="22" s="1"/>
  <c r="P160" i="22"/>
  <c r="K11" i="22" s="1"/>
  <c r="S158" i="22"/>
  <c r="P158" i="22"/>
  <c r="S156" i="22"/>
  <c r="P156" i="22"/>
  <c r="N124" i="22"/>
  <c r="L124" i="22"/>
  <c r="N123" i="22"/>
  <c r="L123" i="22"/>
  <c r="N122" i="22"/>
  <c r="F4" i="58" s="1"/>
  <c r="H4" i="58" s="1"/>
  <c r="L122" i="22"/>
  <c r="C4" i="58" s="1"/>
  <c r="I4" i="58" s="1"/>
  <c r="K5" i="59" l="1"/>
  <c r="S6" i="56"/>
  <c r="S7" i="56"/>
  <c r="S8" i="56"/>
  <c r="S9" i="56"/>
  <c r="S10" i="56"/>
  <c r="S11" i="56"/>
  <c r="S12" i="56"/>
  <c r="S13" i="56"/>
  <c r="S14" i="56"/>
  <c r="S15" i="56"/>
  <c r="S16" i="56"/>
  <c r="S17" i="56"/>
  <c r="S18" i="56"/>
  <c r="S19" i="56"/>
  <c r="S20" i="56"/>
  <c r="S21" i="56"/>
  <c r="S22" i="56"/>
  <c r="S23" i="56"/>
  <c r="S24" i="56"/>
  <c r="S25" i="56"/>
  <c r="S26" i="56"/>
  <c r="S27" i="56"/>
  <c r="S28" i="56"/>
  <c r="S29" i="56"/>
  <c r="S30" i="56"/>
  <c r="S31" i="56"/>
  <c r="S32" i="56"/>
  <c r="S33" i="56"/>
  <c r="S34" i="56"/>
  <c r="S11" i="22"/>
  <c r="S12" i="22"/>
  <c r="S10" i="22"/>
  <c r="S8" i="22"/>
  <c r="S9" i="22"/>
  <c r="S4" i="22"/>
  <c r="S5" i="22"/>
  <c r="S6" i="22"/>
  <c r="S7" i="22"/>
  <c r="T5" i="22"/>
  <c r="T6" i="22"/>
  <c r="T7" i="22"/>
  <c r="T8" i="22"/>
  <c r="T9" i="22"/>
  <c r="T10" i="22"/>
  <c r="T11" i="22"/>
  <c r="T12" i="22"/>
  <c r="T4" i="22"/>
  <c r="C34" i="55"/>
  <c r="C33" i="55"/>
  <c r="C32" i="55"/>
  <c r="C31" i="55"/>
  <c r="C30" i="55"/>
  <c r="C29" i="55"/>
  <c r="C28" i="55"/>
  <c r="C27" i="55"/>
  <c r="C26" i="55"/>
  <c r="C25" i="55"/>
  <c r="C24" i="55"/>
  <c r="C23" i="55"/>
  <c r="C22" i="55"/>
  <c r="C21" i="55"/>
  <c r="C20" i="55"/>
  <c r="C19" i="55"/>
  <c r="C18" i="55"/>
  <c r="C17" i="55"/>
  <c r="C16" i="55"/>
  <c r="C15" i="55"/>
  <c r="C14" i="55"/>
  <c r="C13" i="55"/>
  <c r="C12" i="55"/>
  <c r="C11" i="55"/>
  <c r="C10" i="55"/>
  <c r="C9" i="55"/>
  <c r="C8" i="55"/>
  <c r="C7" i="55"/>
  <c r="C6" i="55"/>
  <c r="L48" i="22"/>
  <c r="U12" i="22" s="1"/>
  <c r="L47" i="22"/>
  <c r="U11" i="22" s="1"/>
  <c r="L46" i="22"/>
  <c r="U10" i="22" s="1"/>
  <c r="L45" i="22"/>
  <c r="U9" i="22" s="1"/>
  <c r="L44" i="22"/>
  <c r="U8" i="22" s="1"/>
  <c r="L43" i="22"/>
  <c r="U7" i="22" s="1"/>
  <c r="L42" i="22"/>
  <c r="U6" i="22" s="1"/>
  <c r="L41" i="22"/>
  <c r="U5" i="22" s="1"/>
  <c r="L40" i="22"/>
  <c r="U4" i="22" s="1"/>
  <c r="O33" i="59" l="1"/>
  <c r="O29" i="59"/>
  <c r="O18" i="59"/>
  <c r="O17" i="59"/>
  <c r="O13" i="59"/>
  <c r="O22" i="59"/>
  <c r="O6" i="59"/>
  <c r="O34" i="59"/>
  <c r="O30" i="59"/>
  <c r="O14" i="59"/>
  <c r="O26" i="59"/>
  <c r="O25" i="59"/>
  <c r="O21" i="59"/>
  <c r="O10" i="59"/>
  <c r="O9" i="59"/>
  <c r="O31" i="59"/>
  <c r="O8" i="59"/>
  <c r="O12" i="59"/>
  <c r="O15" i="59"/>
  <c r="O28" i="59"/>
  <c r="O16" i="59"/>
  <c r="O19" i="59"/>
  <c r="O7" i="59"/>
  <c r="O20" i="59"/>
  <c r="O23" i="59"/>
  <c r="O11" i="59"/>
  <c r="O32" i="59"/>
  <c r="O24" i="59"/>
  <c r="O27" i="59"/>
  <c r="C13" i="56"/>
  <c r="K13" i="56" s="1"/>
  <c r="F14" i="55"/>
  <c r="J14" i="55"/>
  <c r="K14" i="55" s="1"/>
  <c r="F26" i="55"/>
  <c r="J26" i="55"/>
  <c r="K26" i="55" s="1"/>
  <c r="O11" i="55"/>
  <c r="J11" i="55"/>
  <c r="K11" i="55" s="1"/>
  <c r="M27" i="55"/>
  <c r="J27" i="55"/>
  <c r="K27" i="55" s="1"/>
  <c r="M31" i="55"/>
  <c r="J31" i="55"/>
  <c r="K31" i="55" s="1"/>
  <c r="F18" i="55"/>
  <c r="J18" i="55"/>
  <c r="K18" i="55" s="1"/>
  <c r="F34" i="55"/>
  <c r="J34" i="55"/>
  <c r="K34" i="55" s="1"/>
  <c r="M7" i="55"/>
  <c r="J7" i="55"/>
  <c r="K7" i="55" s="1"/>
  <c r="O19" i="55"/>
  <c r="J19" i="55"/>
  <c r="K19" i="55" s="1"/>
  <c r="J8" i="55"/>
  <c r="K8" i="55" s="1"/>
  <c r="J12" i="55"/>
  <c r="K12" i="55" s="1"/>
  <c r="O16" i="55"/>
  <c r="J16" i="55"/>
  <c r="K16" i="55" s="1"/>
  <c r="O20" i="55"/>
  <c r="J20" i="55"/>
  <c r="K20" i="55" s="1"/>
  <c r="O24" i="55"/>
  <c r="J24" i="55"/>
  <c r="K24" i="55" s="1"/>
  <c r="O28" i="55"/>
  <c r="J28" i="55"/>
  <c r="K28" i="55" s="1"/>
  <c r="O32" i="55"/>
  <c r="J32" i="55"/>
  <c r="K32" i="55" s="1"/>
  <c r="F10" i="55"/>
  <c r="J10" i="55"/>
  <c r="K10" i="55" s="1"/>
  <c r="F22" i="55"/>
  <c r="J22" i="55"/>
  <c r="K22" i="55" s="1"/>
  <c r="F30" i="55"/>
  <c r="J30" i="55"/>
  <c r="K30" i="55" s="1"/>
  <c r="O15" i="55"/>
  <c r="J15" i="55"/>
  <c r="K15" i="55" s="1"/>
  <c r="M23" i="55"/>
  <c r="J23" i="55"/>
  <c r="K23" i="55" s="1"/>
  <c r="F9" i="55"/>
  <c r="J9" i="55"/>
  <c r="K9" i="55" s="1"/>
  <c r="F13" i="55"/>
  <c r="J13" i="55"/>
  <c r="K13" i="55" s="1"/>
  <c r="F17" i="55"/>
  <c r="J17" i="55"/>
  <c r="K17" i="55" s="1"/>
  <c r="F21" i="55"/>
  <c r="J21" i="55"/>
  <c r="K21" i="55" s="1"/>
  <c r="F25" i="55"/>
  <c r="J25" i="55"/>
  <c r="K25" i="55" s="1"/>
  <c r="F29" i="55"/>
  <c r="J29" i="55"/>
  <c r="K29" i="55" s="1"/>
  <c r="F33" i="55"/>
  <c r="J33" i="55"/>
  <c r="K33" i="55" s="1"/>
  <c r="O6" i="55"/>
  <c r="J6" i="55"/>
  <c r="K6" i="55" s="1"/>
  <c r="C10" i="56"/>
  <c r="K10" i="56" s="1"/>
  <c r="C9" i="56"/>
  <c r="K9" i="56" s="1"/>
  <c r="C8" i="56"/>
  <c r="K8" i="56" s="1"/>
  <c r="C14" i="56"/>
  <c r="K14" i="56" s="1"/>
  <c r="C6" i="56"/>
  <c r="K6" i="56" s="1"/>
  <c r="C33" i="56"/>
  <c r="K33" i="56" s="1"/>
  <c r="C29" i="56"/>
  <c r="K29" i="56" s="1"/>
  <c r="C25" i="56"/>
  <c r="K25" i="56" s="1"/>
  <c r="C21" i="56"/>
  <c r="K21" i="56" s="1"/>
  <c r="C17" i="56"/>
  <c r="K17" i="56" s="1"/>
  <c r="C32" i="56"/>
  <c r="K32" i="56" s="1"/>
  <c r="C28" i="56"/>
  <c r="K28" i="56" s="1"/>
  <c r="C24" i="56"/>
  <c r="K24" i="56" s="1"/>
  <c r="C20" i="56"/>
  <c r="K20" i="56" s="1"/>
  <c r="C16" i="56"/>
  <c r="K16" i="56" s="1"/>
  <c r="C12" i="56"/>
  <c r="K12" i="56" s="1"/>
  <c r="K5" i="56"/>
  <c r="C31" i="56"/>
  <c r="K31" i="56" s="1"/>
  <c r="C27" i="56"/>
  <c r="K27" i="56" s="1"/>
  <c r="C23" i="56"/>
  <c r="K23" i="56" s="1"/>
  <c r="C19" i="56"/>
  <c r="K19" i="56" s="1"/>
  <c r="C15" i="56"/>
  <c r="K15" i="56" s="1"/>
  <c r="C11" i="56"/>
  <c r="K11" i="56" s="1"/>
  <c r="C7" i="56"/>
  <c r="K7" i="56" s="1"/>
  <c r="C34" i="56"/>
  <c r="K34" i="56" s="1"/>
  <c r="C30" i="56"/>
  <c r="K30" i="56" s="1"/>
  <c r="C26" i="56"/>
  <c r="K26" i="56" s="1"/>
  <c r="C22" i="56"/>
  <c r="K22" i="56" s="1"/>
  <c r="C18" i="56"/>
  <c r="K18" i="56" s="1"/>
  <c r="L17" i="55"/>
  <c r="N17" i="55" s="1"/>
  <c r="O7" i="55"/>
  <c r="M12" i="55"/>
  <c r="L12" i="55"/>
  <c r="N12" i="55" s="1"/>
  <c r="M20" i="55"/>
  <c r="M8" i="55"/>
  <c r="O17" i="55"/>
  <c r="O13" i="55"/>
  <c r="F20" i="55"/>
  <c r="F12" i="55"/>
  <c r="O25" i="55"/>
  <c r="M28" i="55"/>
  <c r="L13" i="55"/>
  <c r="N13" i="55" s="1"/>
  <c r="F28" i="55"/>
  <c r="F32" i="55"/>
  <c r="L9" i="55"/>
  <c r="N9" i="55" s="1"/>
  <c r="L21" i="55"/>
  <c r="N21" i="55" s="1"/>
  <c r="L24" i="55"/>
  <c r="N24" i="55" s="1"/>
  <c r="O27" i="55"/>
  <c r="L29" i="55"/>
  <c r="N29" i="55" s="1"/>
  <c r="L32" i="55"/>
  <c r="N32" i="55" s="1"/>
  <c r="F16" i="55"/>
  <c r="O9" i="55"/>
  <c r="L16" i="55"/>
  <c r="N16" i="55" s="1"/>
  <c r="O21" i="55"/>
  <c r="M24" i="55"/>
  <c r="O29" i="55"/>
  <c r="M32" i="55"/>
  <c r="M16" i="55"/>
  <c r="F24" i="55"/>
  <c r="F8" i="55"/>
  <c r="L8" i="55"/>
  <c r="N8" i="55" s="1"/>
  <c r="L20" i="55"/>
  <c r="N20" i="55" s="1"/>
  <c r="O23" i="55"/>
  <c r="L25" i="55"/>
  <c r="N25" i="55" s="1"/>
  <c r="L28" i="55"/>
  <c r="N28" i="55" s="1"/>
  <c r="O31" i="55"/>
  <c r="O33" i="55"/>
  <c r="F6" i="55"/>
  <c r="L33" i="55"/>
  <c r="N33" i="55" s="1"/>
  <c r="F7" i="55"/>
  <c r="O8" i="55"/>
  <c r="M9" i="55"/>
  <c r="F11" i="55"/>
  <c r="O12" i="55"/>
  <c r="M13" i="55"/>
  <c r="F15" i="55"/>
  <c r="M17" i="55"/>
  <c r="F19" i="55"/>
  <c r="M21" i="55"/>
  <c r="F23" i="55"/>
  <c r="M25" i="55"/>
  <c r="F27" i="55"/>
  <c r="M29" i="55"/>
  <c r="F31" i="55"/>
  <c r="M33" i="55"/>
  <c r="L6" i="55"/>
  <c r="N6" i="55" s="1"/>
  <c r="L10" i="55"/>
  <c r="N10" i="55" s="1"/>
  <c r="L14" i="55"/>
  <c r="N14" i="55" s="1"/>
  <c r="L18" i="55"/>
  <c r="N18" i="55" s="1"/>
  <c r="L22" i="55"/>
  <c r="N22" i="55" s="1"/>
  <c r="L26" i="55"/>
  <c r="N26" i="55" s="1"/>
  <c r="L30" i="55"/>
  <c r="N30" i="55" s="1"/>
  <c r="L34" i="55"/>
  <c r="N34" i="55" s="1"/>
  <c r="M22" i="55"/>
  <c r="M26" i="55"/>
  <c r="M34" i="55"/>
  <c r="M6" i="55"/>
  <c r="M10" i="55"/>
  <c r="M14" i="55"/>
  <c r="L7" i="55"/>
  <c r="N7" i="55" s="1"/>
  <c r="M18" i="55"/>
  <c r="M30" i="55"/>
  <c r="L11" i="55"/>
  <c r="N11" i="55" s="1"/>
  <c r="L15" i="55"/>
  <c r="N15" i="55" s="1"/>
  <c r="L19" i="55"/>
  <c r="N19" i="55" s="1"/>
  <c r="L23" i="55"/>
  <c r="N23" i="55" s="1"/>
  <c r="L27" i="55"/>
  <c r="N27" i="55" s="1"/>
  <c r="L31" i="55"/>
  <c r="N31" i="55" s="1"/>
  <c r="O10" i="55"/>
  <c r="M11" i="55"/>
  <c r="O14" i="55"/>
  <c r="M15" i="55"/>
  <c r="O18" i="55"/>
  <c r="M19" i="55"/>
  <c r="O22" i="55"/>
  <c r="O26" i="55"/>
  <c r="O30" i="55"/>
  <c r="O34" i="55"/>
  <c r="P15" i="55" l="1"/>
  <c r="Q15" i="55" s="1"/>
  <c r="P32" i="55"/>
  <c r="P24" i="55"/>
  <c r="Q24" i="55" s="1"/>
  <c r="P16" i="55"/>
  <c r="Q16" i="55" s="1"/>
  <c r="P11" i="55"/>
  <c r="K19" i="59"/>
  <c r="L19" i="59" s="1"/>
  <c r="P19" i="59"/>
  <c r="F19" i="59"/>
  <c r="P15" i="59"/>
  <c r="K15" i="59"/>
  <c r="L15" i="59" s="1"/>
  <c r="F15" i="59"/>
  <c r="K27" i="59"/>
  <c r="L27" i="59" s="1"/>
  <c r="F27" i="59"/>
  <c r="P27" i="59"/>
  <c r="L5" i="59"/>
  <c r="P5" i="59"/>
  <c r="K21" i="59"/>
  <c r="L21" i="59" s="1"/>
  <c r="F21" i="59"/>
  <c r="P21" i="59"/>
  <c r="O5" i="59"/>
  <c r="O3" i="59" s="1"/>
  <c r="M3" i="59"/>
  <c r="P10" i="59"/>
  <c r="K10" i="59"/>
  <c r="L10" i="59" s="1"/>
  <c r="F10" i="59"/>
  <c r="F14" i="59"/>
  <c r="K14" i="59"/>
  <c r="L14" i="59" s="1"/>
  <c r="P14" i="59"/>
  <c r="F30" i="59"/>
  <c r="K30" i="59"/>
  <c r="L30" i="59" s="1"/>
  <c r="P30" i="59"/>
  <c r="F11" i="59"/>
  <c r="P11" i="59"/>
  <c r="K11" i="59"/>
  <c r="L11" i="59" s="1"/>
  <c r="P23" i="59"/>
  <c r="K23" i="59"/>
  <c r="L23" i="59" s="1"/>
  <c r="F23" i="59"/>
  <c r="F16" i="59"/>
  <c r="P16" i="59"/>
  <c r="K16" i="59"/>
  <c r="L16" i="59" s="1"/>
  <c r="P12" i="59"/>
  <c r="F12" i="59"/>
  <c r="K12" i="59"/>
  <c r="L12" i="59" s="1"/>
  <c r="P24" i="59"/>
  <c r="F24" i="59"/>
  <c r="K24" i="59"/>
  <c r="L24" i="59" s="1"/>
  <c r="F9" i="59"/>
  <c r="P9" i="59"/>
  <c r="K9" i="59"/>
  <c r="L9" i="59" s="1"/>
  <c r="F22" i="59"/>
  <c r="P22" i="59"/>
  <c r="K22" i="59"/>
  <c r="L22" i="59" s="1"/>
  <c r="K17" i="59"/>
  <c r="L17" i="59" s="1"/>
  <c r="F17" i="59"/>
  <c r="P17" i="59"/>
  <c r="K33" i="59"/>
  <c r="L33" i="59" s="1"/>
  <c r="P33" i="59"/>
  <c r="F33" i="59"/>
  <c r="F32" i="59"/>
  <c r="P32" i="59"/>
  <c r="K32" i="59"/>
  <c r="L32" i="59" s="1"/>
  <c r="N3" i="59"/>
  <c r="F20" i="59"/>
  <c r="K20" i="59"/>
  <c r="L20" i="59" s="1"/>
  <c r="P20" i="59"/>
  <c r="P26" i="59"/>
  <c r="K26" i="59"/>
  <c r="L26" i="59" s="1"/>
  <c r="F26" i="59"/>
  <c r="P18" i="59"/>
  <c r="K18" i="59"/>
  <c r="L18" i="59" s="1"/>
  <c r="F18" i="59"/>
  <c r="K7" i="59"/>
  <c r="L7" i="59" s="1"/>
  <c r="F7" i="59"/>
  <c r="P7" i="59"/>
  <c r="K28" i="59"/>
  <c r="L28" i="59" s="1"/>
  <c r="P28" i="59"/>
  <c r="F28" i="59"/>
  <c r="K31" i="59"/>
  <c r="L31" i="59" s="1"/>
  <c r="P31" i="59"/>
  <c r="F31" i="59"/>
  <c r="F8" i="59"/>
  <c r="K8" i="59"/>
  <c r="L8" i="59" s="1"/>
  <c r="P8" i="59"/>
  <c r="F6" i="59"/>
  <c r="P6" i="59"/>
  <c r="K6" i="59"/>
  <c r="L6" i="59" s="1"/>
  <c r="F25" i="59"/>
  <c r="P25" i="59"/>
  <c r="K25" i="59"/>
  <c r="L25" i="59" s="1"/>
  <c r="K13" i="59"/>
  <c r="L13" i="59" s="1"/>
  <c r="F13" i="59"/>
  <c r="P13" i="59"/>
  <c r="K29" i="59"/>
  <c r="L29" i="59" s="1"/>
  <c r="F29" i="59"/>
  <c r="P29" i="59"/>
  <c r="P34" i="59"/>
  <c r="F34" i="59"/>
  <c r="K34" i="59"/>
  <c r="L34" i="59" s="1"/>
  <c r="P19" i="55"/>
  <c r="Q19" i="55" s="1"/>
  <c r="P7" i="55"/>
  <c r="Q7" i="55" s="1"/>
  <c r="P28" i="55"/>
  <c r="Q28" i="55" s="1"/>
  <c r="P20" i="55"/>
  <c r="Q20" i="55" s="1"/>
  <c r="P12" i="55"/>
  <c r="Q12" i="55" s="1"/>
  <c r="P27" i="55"/>
  <c r="Q27" i="55" s="1"/>
  <c r="P8" i="55"/>
  <c r="Q8" i="55" s="1"/>
  <c r="P34" i="55"/>
  <c r="Q34" i="55" s="1"/>
  <c r="P6" i="55"/>
  <c r="Q6" i="55" s="1"/>
  <c r="P18" i="55"/>
  <c r="Q18" i="55" s="1"/>
  <c r="P9" i="55"/>
  <c r="Q9" i="55" s="1"/>
  <c r="P26" i="55"/>
  <c r="Q26" i="55" s="1"/>
  <c r="P29" i="55"/>
  <c r="Q29" i="55" s="1"/>
  <c r="P17" i="55"/>
  <c r="Q17" i="55" s="1"/>
  <c r="P13" i="55"/>
  <c r="Q13" i="55" s="1"/>
  <c r="P14" i="55"/>
  <c r="Q14" i="55" s="1"/>
  <c r="P21" i="55"/>
  <c r="Q21" i="55" s="1"/>
  <c r="P23" i="55"/>
  <c r="Q23" i="55" s="1"/>
  <c r="Q32" i="55"/>
  <c r="P25" i="55"/>
  <c r="Q25" i="55" s="1"/>
  <c r="P31" i="55"/>
  <c r="Q31" i="55" s="1"/>
  <c r="P30" i="55"/>
  <c r="Q30" i="55" s="1"/>
  <c r="Q11" i="55"/>
  <c r="P33" i="55"/>
  <c r="Q33" i="55" s="1"/>
  <c r="P10" i="55"/>
  <c r="Q10" i="55" s="1"/>
  <c r="P22" i="55"/>
  <c r="Q22" i="55" s="1"/>
  <c r="Q28" i="59" l="1"/>
  <c r="R28" i="59" s="1"/>
  <c r="Q14" i="59"/>
  <c r="R14" i="59" s="1"/>
  <c r="Q26" i="59"/>
  <c r="R26" i="59" s="1"/>
  <c r="Q27" i="59"/>
  <c r="R27" i="59" s="1"/>
  <c r="Q34" i="59"/>
  <c r="R34" i="59" s="1"/>
  <c r="Q13" i="59"/>
  <c r="R13" i="59" s="1"/>
  <c r="Q18" i="59"/>
  <c r="R18" i="59" s="1"/>
  <c r="Q20" i="59"/>
  <c r="R20" i="59" s="1"/>
  <c r="Q33" i="59"/>
  <c r="R33" i="59" s="1"/>
  <c r="Q12" i="59"/>
  <c r="R12" i="59" s="1"/>
  <c r="Q11" i="59"/>
  <c r="R11" i="59" s="1"/>
  <c r="Q15" i="59"/>
  <c r="R15" i="59" s="1"/>
  <c r="Q6" i="59"/>
  <c r="R6" i="59" s="1"/>
  <c r="Q5" i="59"/>
  <c r="P3" i="59"/>
  <c r="Q32" i="59"/>
  <c r="R32" i="59" s="1"/>
  <c r="Q9" i="59"/>
  <c r="R9" i="59" s="1"/>
  <c r="Q24" i="59"/>
  <c r="R24" i="59" s="1"/>
  <c r="Q21" i="59"/>
  <c r="R21" i="59" s="1"/>
  <c r="Q25" i="59"/>
  <c r="R25" i="59" s="1"/>
  <c r="Q29" i="59"/>
  <c r="R29" i="59" s="1"/>
  <c r="Q8" i="59"/>
  <c r="R8" i="59" s="1"/>
  <c r="Q31" i="59"/>
  <c r="R31" i="59" s="1"/>
  <c r="Q17" i="59"/>
  <c r="R17" i="59" s="1"/>
  <c r="Q22" i="59"/>
  <c r="R22" i="59" s="1"/>
  <c r="Q16" i="59"/>
  <c r="R16" i="59" s="1"/>
  <c r="Q23" i="59"/>
  <c r="R23" i="59" s="1"/>
  <c r="Q30" i="59"/>
  <c r="R30" i="59" s="1"/>
  <c r="Q10" i="59"/>
  <c r="R10" i="59" s="1"/>
  <c r="Q19" i="59"/>
  <c r="R19" i="59" s="1"/>
  <c r="Q7" i="59"/>
  <c r="R7" i="59" s="1"/>
  <c r="L3" i="59"/>
  <c r="B28" i="57"/>
  <c r="B38" i="55"/>
  <c r="B38" i="56"/>
  <c r="B38" i="46"/>
  <c r="B59" i="27"/>
  <c r="B58" i="1"/>
  <c r="B41" i="37"/>
  <c r="B47" i="52"/>
  <c r="B22" i="44"/>
  <c r="B195" i="28"/>
  <c r="J195" i="28"/>
  <c r="K195" i="28"/>
  <c r="L195" i="28"/>
  <c r="M195" i="28"/>
  <c r="B196" i="28"/>
  <c r="J196" i="28"/>
  <c r="K196" i="28"/>
  <c r="L196" i="28"/>
  <c r="M196" i="28"/>
  <c r="B197" i="28"/>
  <c r="J197" i="28"/>
  <c r="K197" i="28"/>
  <c r="L197" i="28"/>
  <c r="M197" i="28"/>
  <c r="B198" i="28"/>
  <c r="J198" i="28"/>
  <c r="K198" i="28"/>
  <c r="L198" i="28"/>
  <c r="M198" i="28"/>
  <c r="B199" i="28"/>
  <c r="J199" i="28"/>
  <c r="K199" i="28"/>
  <c r="L199" i="28"/>
  <c r="M199" i="28"/>
  <c r="B200" i="28"/>
  <c r="J200" i="28"/>
  <c r="K200" i="28"/>
  <c r="L200" i="28"/>
  <c r="M200" i="28"/>
  <c r="B201" i="28"/>
  <c r="J201" i="28"/>
  <c r="K201" i="28"/>
  <c r="L201" i="28"/>
  <c r="M201" i="28"/>
  <c r="B202" i="28"/>
  <c r="J202" i="28"/>
  <c r="K202" i="28"/>
  <c r="L202" i="28"/>
  <c r="M202" i="28"/>
  <c r="B203" i="28"/>
  <c r="J203" i="28"/>
  <c r="K203" i="28"/>
  <c r="L203" i="28"/>
  <c r="M203" i="28"/>
  <c r="B204" i="28"/>
  <c r="J204" i="28"/>
  <c r="K204" i="28"/>
  <c r="L204" i="28"/>
  <c r="M204" i="28"/>
  <c r="B205" i="28"/>
  <c r="J205" i="28"/>
  <c r="K205" i="28"/>
  <c r="L205" i="28"/>
  <c r="M205" i="28"/>
  <c r="B206" i="28"/>
  <c r="J206" i="28"/>
  <c r="K206" i="28"/>
  <c r="L206" i="28"/>
  <c r="M206" i="28"/>
  <c r="B207" i="28"/>
  <c r="J207" i="28"/>
  <c r="K207" i="28"/>
  <c r="L207" i="28"/>
  <c r="M207" i="28"/>
  <c r="B208" i="28"/>
  <c r="J208" i="28"/>
  <c r="K208" i="28"/>
  <c r="L208" i="28"/>
  <c r="M208" i="28"/>
  <c r="B209" i="28"/>
  <c r="J209" i="28"/>
  <c r="K209" i="28"/>
  <c r="L209" i="28"/>
  <c r="M209" i="28"/>
  <c r="B210" i="28"/>
  <c r="J210" i="28"/>
  <c r="K210" i="28"/>
  <c r="L210" i="28"/>
  <c r="M210" i="28"/>
  <c r="B211" i="28"/>
  <c r="J211" i="28"/>
  <c r="K211" i="28"/>
  <c r="L211" i="28"/>
  <c r="M211" i="28"/>
  <c r="B212" i="28"/>
  <c r="J212" i="28"/>
  <c r="K212" i="28"/>
  <c r="L212" i="28"/>
  <c r="M212" i="28"/>
  <c r="J194" i="28"/>
  <c r="K194" i="28"/>
  <c r="L194" i="28"/>
  <c r="M194" i="28"/>
  <c r="M193" i="28"/>
  <c r="L193" i="28"/>
  <c r="K193" i="28"/>
  <c r="J193" i="28"/>
  <c r="C5" i="57"/>
  <c r="D193" i="28" s="1"/>
  <c r="C6" i="57"/>
  <c r="D194" i="28" s="1"/>
  <c r="C7" i="57"/>
  <c r="D195" i="28" s="1"/>
  <c r="C8" i="57"/>
  <c r="D196" i="28" s="1"/>
  <c r="C9" i="57"/>
  <c r="D197" i="28" s="1"/>
  <c r="C10" i="57"/>
  <c r="D198" i="28" s="1"/>
  <c r="C11" i="57"/>
  <c r="D199" i="28" s="1"/>
  <c r="C12" i="57"/>
  <c r="D200" i="28" s="1"/>
  <c r="C13" i="57"/>
  <c r="D201" i="28" s="1"/>
  <c r="C14" i="57"/>
  <c r="D202" i="28" s="1"/>
  <c r="C15" i="57"/>
  <c r="D203" i="28" s="1"/>
  <c r="C16" i="57"/>
  <c r="D204" i="28" s="1"/>
  <c r="C17" i="57"/>
  <c r="D205" i="28" s="1"/>
  <c r="C18" i="57"/>
  <c r="D206" i="28" s="1"/>
  <c r="C19" i="57"/>
  <c r="D207" i="28" s="1"/>
  <c r="C20" i="57"/>
  <c r="D208" i="28" s="1"/>
  <c r="C21" i="57"/>
  <c r="D209" i="28" s="1"/>
  <c r="C22" i="57"/>
  <c r="D210" i="28" s="1"/>
  <c r="C23" i="57"/>
  <c r="D211" i="28" s="1"/>
  <c r="C24" i="57"/>
  <c r="D212" i="28" s="1"/>
  <c r="B194" i="28"/>
  <c r="B193" i="28"/>
  <c r="B165" i="28"/>
  <c r="F165" i="28"/>
  <c r="J165" i="28"/>
  <c r="K165" i="28"/>
  <c r="L165" i="28"/>
  <c r="M165" i="28"/>
  <c r="B166" i="28"/>
  <c r="F166" i="28"/>
  <c r="J166" i="28"/>
  <c r="K166" i="28"/>
  <c r="L166" i="28"/>
  <c r="M166" i="28"/>
  <c r="B167" i="28"/>
  <c r="F167" i="28"/>
  <c r="J167" i="28"/>
  <c r="K167" i="28"/>
  <c r="L167" i="28"/>
  <c r="M167" i="28"/>
  <c r="B168" i="28"/>
  <c r="F168" i="28"/>
  <c r="J168" i="28"/>
  <c r="K168" i="28"/>
  <c r="L168" i="28"/>
  <c r="M168" i="28"/>
  <c r="B169" i="28"/>
  <c r="F169" i="28"/>
  <c r="J169" i="28"/>
  <c r="K169" i="28"/>
  <c r="L169" i="28"/>
  <c r="M169" i="28"/>
  <c r="B170" i="28"/>
  <c r="F170" i="28"/>
  <c r="J170" i="28"/>
  <c r="K170" i="28"/>
  <c r="L170" i="28"/>
  <c r="M170" i="28"/>
  <c r="B171" i="28"/>
  <c r="F171" i="28"/>
  <c r="J171" i="28"/>
  <c r="K171" i="28"/>
  <c r="L171" i="28"/>
  <c r="M171" i="28"/>
  <c r="B172" i="28"/>
  <c r="F172" i="28"/>
  <c r="J172" i="28"/>
  <c r="K172" i="28"/>
  <c r="L172" i="28"/>
  <c r="M172" i="28"/>
  <c r="B173" i="28"/>
  <c r="F173" i="28"/>
  <c r="J173" i="28"/>
  <c r="K173" i="28"/>
  <c r="L173" i="28"/>
  <c r="M173" i="28"/>
  <c r="B174" i="28"/>
  <c r="F174" i="28"/>
  <c r="J174" i="28"/>
  <c r="K174" i="28"/>
  <c r="L174" i="28"/>
  <c r="M174" i="28"/>
  <c r="B175" i="28"/>
  <c r="F175" i="28"/>
  <c r="J175" i="28"/>
  <c r="K175" i="28"/>
  <c r="L175" i="28"/>
  <c r="M175" i="28"/>
  <c r="B176" i="28"/>
  <c r="F176" i="28"/>
  <c r="J176" i="28"/>
  <c r="K176" i="28"/>
  <c r="L176" i="28"/>
  <c r="M176" i="28"/>
  <c r="B177" i="28"/>
  <c r="F177" i="28"/>
  <c r="J177" i="28"/>
  <c r="K177" i="28"/>
  <c r="L177" i="28"/>
  <c r="M177" i="28"/>
  <c r="B178" i="28"/>
  <c r="F178" i="28"/>
  <c r="J178" i="28"/>
  <c r="K178" i="28"/>
  <c r="L178" i="28"/>
  <c r="M178" i="28"/>
  <c r="B179" i="28"/>
  <c r="F179" i="28"/>
  <c r="J179" i="28"/>
  <c r="K179" i="28"/>
  <c r="L179" i="28"/>
  <c r="M179" i="28"/>
  <c r="B180" i="28"/>
  <c r="F180" i="28"/>
  <c r="J180" i="28"/>
  <c r="K180" i="28"/>
  <c r="L180" i="28"/>
  <c r="M180" i="28"/>
  <c r="B181" i="28"/>
  <c r="F181" i="28"/>
  <c r="J181" i="28"/>
  <c r="K181" i="28"/>
  <c r="L181" i="28"/>
  <c r="M181" i="28"/>
  <c r="B182" i="28"/>
  <c r="F182" i="28"/>
  <c r="J182" i="28"/>
  <c r="K182" i="28"/>
  <c r="L182" i="28"/>
  <c r="M182" i="28"/>
  <c r="B183" i="28"/>
  <c r="F183" i="28"/>
  <c r="J183" i="28"/>
  <c r="K183" i="28"/>
  <c r="L183" i="28"/>
  <c r="M183" i="28"/>
  <c r="B184" i="28"/>
  <c r="F184" i="28"/>
  <c r="J184" i="28"/>
  <c r="K184" i="28"/>
  <c r="L184" i="28"/>
  <c r="M184" i="28"/>
  <c r="B185" i="28"/>
  <c r="F185" i="28"/>
  <c r="J185" i="28"/>
  <c r="K185" i="28"/>
  <c r="L185" i="28"/>
  <c r="M185" i="28"/>
  <c r="B186" i="28"/>
  <c r="F186" i="28"/>
  <c r="J186" i="28"/>
  <c r="K186" i="28"/>
  <c r="L186" i="28"/>
  <c r="M186" i="28"/>
  <c r="B187" i="28"/>
  <c r="F187" i="28"/>
  <c r="J187" i="28"/>
  <c r="K187" i="28"/>
  <c r="L187" i="28"/>
  <c r="M187" i="28"/>
  <c r="B188" i="28"/>
  <c r="F188" i="28"/>
  <c r="J188" i="28"/>
  <c r="K188" i="28"/>
  <c r="L188" i="28"/>
  <c r="M188" i="28"/>
  <c r="B189" i="28"/>
  <c r="F189" i="28"/>
  <c r="J189" i="28"/>
  <c r="K189" i="28"/>
  <c r="L189" i="28"/>
  <c r="M189" i="28"/>
  <c r="B190" i="28"/>
  <c r="F190" i="28"/>
  <c r="J190" i="28"/>
  <c r="K190" i="28"/>
  <c r="L190" i="28"/>
  <c r="M190" i="28"/>
  <c r="B191" i="28"/>
  <c r="F191" i="28"/>
  <c r="J191" i="28"/>
  <c r="K191" i="28"/>
  <c r="L191" i="28"/>
  <c r="M191" i="28"/>
  <c r="B192" i="28"/>
  <c r="F192" i="28"/>
  <c r="J192" i="28"/>
  <c r="K192" i="28"/>
  <c r="L192" i="28"/>
  <c r="M192" i="28"/>
  <c r="F164" i="28"/>
  <c r="J164" i="28"/>
  <c r="K164" i="28"/>
  <c r="L164" i="28"/>
  <c r="M164" i="28"/>
  <c r="M163" i="28"/>
  <c r="L163" i="28"/>
  <c r="K163" i="28"/>
  <c r="J163" i="28"/>
  <c r="F163" i="28"/>
  <c r="B164" i="28"/>
  <c r="B163" i="28"/>
  <c r="B159" i="28"/>
  <c r="F159" i="28"/>
  <c r="J159" i="28"/>
  <c r="K159" i="28"/>
  <c r="L159" i="28"/>
  <c r="M159" i="28"/>
  <c r="B160" i="28"/>
  <c r="F160" i="28"/>
  <c r="J160" i="28"/>
  <c r="K160" i="28"/>
  <c r="L160" i="28"/>
  <c r="M160" i="28"/>
  <c r="B161" i="28"/>
  <c r="F161" i="28"/>
  <c r="J161" i="28"/>
  <c r="K161" i="28"/>
  <c r="L161" i="28"/>
  <c r="M161" i="28"/>
  <c r="B162" i="28"/>
  <c r="F162" i="28"/>
  <c r="J162" i="28"/>
  <c r="K162" i="28"/>
  <c r="L162" i="28"/>
  <c r="M162" i="28"/>
  <c r="B135" i="28"/>
  <c r="F135" i="28"/>
  <c r="J135" i="28"/>
  <c r="K135" i="28"/>
  <c r="L135" i="28"/>
  <c r="M135" i="28"/>
  <c r="B136" i="28"/>
  <c r="F136" i="28"/>
  <c r="J136" i="28"/>
  <c r="K136" i="28"/>
  <c r="L136" i="28"/>
  <c r="M136" i="28"/>
  <c r="B137" i="28"/>
  <c r="F137" i="28"/>
  <c r="J137" i="28"/>
  <c r="K137" i="28"/>
  <c r="L137" i="28"/>
  <c r="M137" i="28"/>
  <c r="B138" i="28"/>
  <c r="F138" i="28"/>
  <c r="J138" i="28"/>
  <c r="K138" i="28"/>
  <c r="L138" i="28"/>
  <c r="M138" i="28"/>
  <c r="B139" i="28"/>
  <c r="F139" i="28"/>
  <c r="J139" i="28"/>
  <c r="K139" i="28"/>
  <c r="L139" i="28"/>
  <c r="M139" i="28"/>
  <c r="B140" i="28"/>
  <c r="F140" i="28"/>
  <c r="J140" i="28"/>
  <c r="K140" i="28"/>
  <c r="L140" i="28"/>
  <c r="M140" i="28"/>
  <c r="B141" i="28"/>
  <c r="F141" i="28"/>
  <c r="J141" i="28"/>
  <c r="K141" i="28"/>
  <c r="L141" i="28"/>
  <c r="M141" i="28"/>
  <c r="B142" i="28"/>
  <c r="F142" i="28"/>
  <c r="J142" i="28"/>
  <c r="K142" i="28"/>
  <c r="L142" i="28"/>
  <c r="M142" i="28"/>
  <c r="B143" i="28"/>
  <c r="F143" i="28"/>
  <c r="J143" i="28"/>
  <c r="K143" i="28"/>
  <c r="L143" i="28"/>
  <c r="M143" i="28"/>
  <c r="B144" i="28"/>
  <c r="F144" i="28"/>
  <c r="J144" i="28"/>
  <c r="K144" i="28"/>
  <c r="L144" i="28"/>
  <c r="M144" i="28"/>
  <c r="B145" i="28"/>
  <c r="F145" i="28"/>
  <c r="J145" i="28"/>
  <c r="K145" i="28"/>
  <c r="L145" i="28"/>
  <c r="M145" i="28"/>
  <c r="B146" i="28"/>
  <c r="F146" i="28"/>
  <c r="J146" i="28"/>
  <c r="K146" i="28"/>
  <c r="L146" i="28"/>
  <c r="M146" i="28"/>
  <c r="B147" i="28"/>
  <c r="F147" i="28"/>
  <c r="J147" i="28"/>
  <c r="K147" i="28"/>
  <c r="L147" i="28"/>
  <c r="M147" i="28"/>
  <c r="B148" i="28"/>
  <c r="F148" i="28"/>
  <c r="J148" i="28"/>
  <c r="K148" i="28"/>
  <c r="L148" i="28"/>
  <c r="M148" i="28"/>
  <c r="B149" i="28"/>
  <c r="F149" i="28"/>
  <c r="J149" i="28"/>
  <c r="K149" i="28"/>
  <c r="L149" i="28"/>
  <c r="M149" i="28"/>
  <c r="B150" i="28"/>
  <c r="F150" i="28"/>
  <c r="J150" i="28"/>
  <c r="K150" i="28"/>
  <c r="L150" i="28"/>
  <c r="M150" i="28"/>
  <c r="B151" i="28"/>
  <c r="F151" i="28"/>
  <c r="J151" i="28"/>
  <c r="K151" i="28"/>
  <c r="L151" i="28"/>
  <c r="M151" i="28"/>
  <c r="B152" i="28"/>
  <c r="F152" i="28"/>
  <c r="J152" i="28"/>
  <c r="K152" i="28"/>
  <c r="L152" i="28"/>
  <c r="M152" i="28"/>
  <c r="B153" i="28"/>
  <c r="F153" i="28"/>
  <c r="J153" i="28"/>
  <c r="K153" i="28"/>
  <c r="L153" i="28"/>
  <c r="M153" i="28"/>
  <c r="B154" i="28"/>
  <c r="F154" i="28"/>
  <c r="J154" i="28"/>
  <c r="K154" i="28"/>
  <c r="L154" i="28"/>
  <c r="M154" i="28"/>
  <c r="B155" i="28"/>
  <c r="F155" i="28"/>
  <c r="J155" i="28"/>
  <c r="K155" i="28"/>
  <c r="L155" i="28"/>
  <c r="M155" i="28"/>
  <c r="B156" i="28"/>
  <c r="F156" i="28"/>
  <c r="J156" i="28"/>
  <c r="K156" i="28"/>
  <c r="L156" i="28"/>
  <c r="M156" i="28"/>
  <c r="B157" i="28"/>
  <c r="F157" i="28"/>
  <c r="J157" i="28"/>
  <c r="K157" i="28"/>
  <c r="L157" i="28"/>
  <c r="M157" i="28"/>
  <c r="B158" i="28"/>
  <c r="F158" i="28"/>
  <c r="J158" i="28"/>
  <c r="K158" i="28"/>
  <c r="L158" i="28"/>
  <c r="M158" i="28"/>
  <c r="M134" i="28"/>
  <c r="F134" i="28"/>
  <c r="J134" i="28"/>
  <c r="K134" i="28"/>
  <c r="L134" i="28"/>
  <c r="M133" i="28"/>
  <c r="L133" i="28"/>
  <c r="K133" i="28"/>
  <c r="J133" i="28"/>
  <c r="F133" i="28"/>
  <c r="B134" i="28"/>
  <c r="B133" i="28"/>
  <c r="C54" i="28"/>
  <c r="F54" i="28"/>
  <c r="J54" i="28"/>
  <c r="K54" i="28"/>
  <c r="L54" i="28"/>
  <c r="M54" i="28"/>
  <c r="C55" i="28"/>
  <c r="F55" i="28"/>
  <c r="J55" i="28"/>
  <c r="K55" i="28"/>
  <c r="L55" i="28"/>
  <c r="M55" i="28"/>
  <c r="C56" i="28"/>
  <c r="F56" i="28"/>
  <c r="J56" i="28"/>
  <c r="K56" i="28"/>
  <c r="L56" i="28"/>
  <c r="M56" i="28"/>
  <c r="C57" i="28"/>
  <c r="F57" i="28"/>
  <c r="J57" i="28"/>
  <c r="K57" i="28"/>
  <c r="L57" i="28"/>
  <c r="M57" i="28"/>
  <c r="C58" i="28"/>
  <c r="F58" i="28"/>
  <c r="J58" i="28"/>
  <c r="K58" i="28"/>
  <c r="L58" i="28"/>
  <c r="M58" i="28"/>
  <c r="C59" i="28"/>
  <c r="F59" i="28"/>
  <c r="J59" i="28"/>
  <c r="K59" i="28"/>
  <c r="L59" i="28"/>
  <c r="M59" i="28"/>
  <c r="C60" i="28"/>
  <c r="F60" i="28"/>
  <c r="J60" i="28"/>
  <c r="K60" i="28"/>
  <c r="L60" i="28"/>
  <c r="M60" i="28"/>
  <c r="C61" i="28"/>
  <c r="F61" i="28"/>
  <c r="J61" i="28"/>
  <c r="K61" i="28"/>
  <c r="L61" i="28"/>
  <c r="M61" i="28"/>
  <c r="C62" i="28"/>
  <c r="F62" i="28"/>
  <c r="J62" i="28"/>
  <c r="K62" i="28"/>
  <c r="L62" i="28"/>
  <c r="M62" i="28"/>
  <c r="C63" i="28"/>
  <c r="F63" i="28"/>
  <c r="J63" i="28"/>
  <c r="K63" i="28"/>
  <c r="L63" i="28"/>
  <c r="M63" i="28"/>
  <c r="C64" i="28"/>
  <c r="F64" i="28"/>
  <c r="J64" i="28"/>
  <c r="K64" i="28"/>
  <c r="L64" i="28"/>
  <c r="M64" i="28"/>
  <c r="C65" i="28"/>
  <c r="F65" i="28"/>
  <c r="J65" i="28"/>
  <c r="K65" i="28"/>
  <c r="L65" i="28"/>
  <c r="M65" i="28"/>
  <c r="C66" i="28"/>
  <c r="F66" i="28"/>
  <c r="J66" i="28"/>
  <c r="K66" i="28"/>
  <c r="L66" i="28"/>
  <c r="M66" i="28"/>
  <c r="C67" i="28"/>
  <c r="F67" i="28"/>
  <c r="J67" i="28"/>
  <c r="K67" i="28"/>
  <c r="L67" i="28"/>
  <c r="M67" i="28"/>
  <c r="C68" i="28"/>
  <c r="F68" i="28"/>
  <c r="J68" i="28"/>
  <c r="K68" i="28"/>
  <c r="L68" i="28"/>
  <c r="M68" i="28"/>
  <c r="C69" i="28"/>
  <c r="F69" i="28"/>
  <c r="J69" i="28"/>
  <c r="K69" i="28"/>
  <c r="L69" i="28"/>
  <c r="M69" i="28"/>
  <c r="C70" i="28"/>
  <c r="F70" i="28"/>
  <c r="J70" i="28"/>
  <c r="K70" i="28"/>
  <c r="L70" i="28"/>
  <c r="M70" i="28"/>
  <c r="C71" i="28"/>
  <c r="F71" i="28"/>
  <c r="J71" i="28"/>
  <c r="K71" i="28"/>
  <c r="L71" i="28"/>
  <c r="M71" i="28"/>
  <c r="C72" i="28"/>
  <c r="F72" i="28"/>
  <c r="J72" i="28"/>
  <c r="K72" i="28"/>
  <c r="L72" i="28"/>
  <c r="M72" i="28"/>
  <c r="C73" i="28"/>
  <c r="F73" i="28"/>
  <c r="J73" i="28"/>
  <c r="K73" i="28"/>
  <c r="L73" i="28"/>
  <c r="M73" i="28"/>
  <c r="C74" i="28"/>
  <c r="F74" i="28"/>
  <c r="J74" i="28"/>
  <c r="K74" i="28"/>
  <c r="L74" i="28"/>
  <c r="M74" i="28"/>
  <c r="C75" i="28"/>
  <c r="F75" i="28"/>
  <c r="J75" i="28"/>
  <c r="K75" i="28"/>
  <c r="L75" i="28"/>
  <c r="M75" i="28"/>
  <c r="C76" i="28"/>
  <c r="F76" i="28"/>
  <c r="J76" i="28"/>
  <c r="K76" i="28"/>
  <c r="L76" i="28"/>
  <c r="M76" i="28"/>
  <c r="C77" i="28"/>
  <c r="F77" i="28"/>
  <c r="J77" i="28"/>
  <c r="K77" i="28"/>
  <c r="L77" i="28"/>
  <c r="M77" i="28"/>
  <c r="C78" i="28"/>
  <c r="F78" i="28"/>
  <c r="J78" i="28"/>
  <c r="K78" i="28"/>
  <c r="L78" i="28"/>
  <c r="M78" i="28"/>
  <c r="C79" i="28"/>
  <c r="F79" i="28"/>
  <c r="J79" i="28"/>
  <c r="K79" i="28"/>
  <c r="L79" i="28"/>
  <c r="M79" i="28"/>
  <c r="C80" i="28"/>
  <c r="F80" i="28"/>
  <c r="J80" i="28"/>
  <c r="K80" i="28"/>
  <c r="L80" i="28"/>
  <c r="M80" i="28"/>
  <c r="C81" i="28"/>
  <c r="F81" i="28"/>
  <c r="J81" i="28"/>
  <c r="K81" i="28"/>
  <c r="L81" i="28"/>
  <c r="M81" i="28"/>
  <c r="C82" i="28"/>
  <c r="F82" i="28"/>
  <c r="J82" i="28"/>
  <c r="K82" i="28"/>
  <c r="L82" i="28"/>
  <c r="M82" i="28"/>
  <c r="C83" i="28"/>
  <c r="F83" i="28"/>
  <c r="J83" i="28"/>
  <c r="K83" i="28"/>
  <c r="L83" i="28"/>
  <c r="M83" i="28"/>
  <c r="C84" i="28"/>
  <c r="F84" i="28"/>
  <c r="J84" i="28"/>
  <c r="K84" i="28"/>
  <c r="L84" i="28"/>
  <c r="M84" i="28"/>
  <c r="C85" i="28"/>
  <c r="F85" i="28"/>
  <c r="J85" i="28"/>
  <c r="K85" i="28"/>
  <c r="L85" i="28"/>
  <c r="M85" i="28"/>
  <c r="C86" i="28"/>
  <c r="F86" i="28"/>
  <c r="J86" i="28"/>
  <c r="K86" i="28"/>
  <c r="L86" i="28"/>
  <c r="M86" i="28"/>
  <c r="C87" i="28"/>
  <c r="F87" i="28"/>
  <c r="J87" i="28"/>
  <c r="K87" i="28"/>
  <c r="L87" i="28"/>
  <c r="M87" i="28"/>
  <c r="C88" i="28"/>
  <c r="F88" i="28"/>
  <c r="J88" i="28"/>
  <c r="K88" i="28"/>
  <c r="L88" i="28"/>
  <c r="M88" i="28"/>
  <c r="C89" i="28"/>
  <c r="F89" i="28"/>
  <c r="J89" i="28"/>
  <c r="K89" i="28"/>
  <c r="L89" i="28"/>
  <c r="M89" i="28"/>
  <c r="C90" i="28"/>
  <c r="F90" i="28"/>
  <c r="J90" i="28"/>
  <c r="K90" i="28"/>
  <c r="L90" i="28"/>
  <c r="M90" i="28"/>
  <c r="C91" i="28"/>
  <c r="F91" i="28"/>
  <c r="J91" i="28"/>
  <c r="K91" i="28"/>
  <c r="L91" i="28"/>
  <c r="M91" i="28"/>
  <c r="C92" i="28"/>
  <c r="F92" i="28"/>
  <c r="J92" i="28"/>
  <c r="K92" i="28"/>
  <c r="L92" i="28"/>
  <c r="M92" i="28"/>
  <c r="C93" i="28"/>
  <c r="F93" i="28"/>
  <c r="J93" i="28"/>
  <c r="K93" i="28"/>
  <c r="L93" i="28"/>
  <c r="M93" i="28"/>
  <c r="C94" i="28"/>
  <c r="F94" i="28"/>
  <c r="J94" i="28"/>
  <c r="K94" i="28"/>
  <c r="L94" i="28"/>
  <c r="M94" i="28"/>
  <c r="C95" i="28"/>
  <c r="F95" i="28"/>
  <c r="J95" i="28"/>
  <c r="K95" i="28"/>
  <c r="L95" i="28"/>
  <c r="M95" i="28"/>
  <c r="C96" i="28"/>
  <c r="F96" i="28"/>
  <c r="J96" i="28"/>
  <c r="K96" i="28"/>
  <c r="L96" i="28"/>
  <c r="M96" i="28"/>
  <c r="C97" i="28"/>
  <c r="F97" i="28"/>
  <c r="J97" i="28"/>
  <c r="K97" i="28"/>
  <c r="L97" i="28"/>
  <c r="M97" i="28"/>
  <c r="C98" i="28"/>
  <c r="F98" i="28"/>
  <c r="J98" i="28"/>
  <c r="K98" i="28"/>
  <c r="L98" i="28"/>
  <c r="M98" i="28"/>
  <c r="C99" i="28"/>
  <c r="F99" i="28"/>
  <c r="J99" i="28"/>
  <c r="K99" i="28"/>
  <c r="L99" i="28"/>
  <c r="M99" i="28"/>
  <c r="C100" i="28"/>
  <c r="F100" i="28"/>
  <c r="J100" i="28"/>
  <c r="K100" i="28"/>
  <c r="L100" i="28"/>
  <c r="M100" i="28"/>
  <c r="C101" i="28"/>
  <c r="F101" i="28"/>
  <c r="J101" i="28"/>
  <c r="K101" i="28"/>
  <c r="L101" i="28"/>
  <c r="M101" i="28"/>
  <c r="C102" i="28"/>
  <c r="F102" i="28"/>
  <c r="J102" i="28"/>
  <c r="K102" i="28"/>
  <c r="L102" i="28"/>
  <c r="M102" i="28"/>
  <c r="M53" i="28"/>
  <c r="L103" i="28"/>
  <c r="L104" i="28"/>
  <c r="L105" i="28"/>
  <c r="L106" i="28"/>
  <c r="L107" i="28"/>
  <c r="L108" i="28"/>
  <c r="L109" i="28"/>
  <c r="L110" i="28"/>
  <c r="L111" i="28"/>
  <c r="L112" i="28"/>
  <c r="L113" i="28"/>
  <c r="L114" i="28"/>
  <c r="L115" i="28"/>
  <c r="L116" i="28"/>
  <c r="L117" i="28"/>
  <c r="L118" i="28"/>
  <c r="L119" i="28"/>
  <c r="L120" i="28"/>
  <c r="L121" i="28"/>
  <c r="L122" i="28"/>
  <c r="L123" i="28"/>
  <c r="L124" i="28"/>
  <c r="L125" i="28"/>
  <c r="L126" i="28"/>
  <c r="L127" i="28"/>
  <c r="L128" i="28"/>
  <c r="L129" i="28"/>
  <c r="L130" i="28"/>
  <c r="L131" i="28"/>
  <c r="L132" i="28"/>
  <c r="L4" i="28"/>
  <c r="L5" i="28"/>
  <c r="L6" i="28"/>
  <c r="L7" i="28"/>
  <c r="L8" i="28"/>
  <c r="L9" i="28"/>
  <c r="L10" i="28"/>
  <c r="L11" i="28"/>
  <c r="L12" i="28"/>
  <c r="L13" i="28"/>
  <c r="L14" i="28"/>
  <c r="L15" i="28"/>
  <c r="L16" i="28"/>
  <c r="L17" i="28"/>
  <c r="L18" i="28"/>
  <c r="L19" i="28"/>
  <c r="L20" i="28"/>
  <c r="L21" i="28"/>
  <c r="L22" i="28"/>
  <c r="L23" i="28"/>
  <c r="L24" i="28"/>
  <c r="L25" i="28"/>
  <c r="L26" i="28"/>
  <c r="L27" i="28"/>
  <c r="L28" i="28"/>
  <c r="L29" i="28"/>
  <c r="L30" i="28"/>
  <c r="L31" i="28"/>
  <c r="L32" i="28"/>
  <c r="L33" i="28"/>
  <c r="L34" i="28"/>
  <c r="L35" i="28"/>
  <c r="L36" i="28"/>
  <c r="L37" i="28"/>
  <c r="L38" i="28"/>
  <c r="L39" i="28"/>
  <c r="L40" i="28"/>
  <c r="L41" i="28"/>
  <c r="L42" i="28"/>
  <c r="L43" i="28"/>
  <c r="L44" i="28"/>
  <c r="L45" i="28"/>
  <c r="L46" i="28"/>
  <c r="L47" i="28"/>
  <c r="L48" i="28"/>
  <c r="L49" i="28"/>
  <c r="L50" i="28"/>
  <c r="L51" i="28"/>
  <c r="L52" i="28"/>
  <c r="L53" i="28"/>
  <c r="L3" i="28"/>
  <c r="B31" i="26"/>
  <c r="B32" i="26"/>
  <c r="B33" i="26"/>
  <c r="B34" i="26"/>
  <c r="B35" i="26"/>
  <c r="B30" i="26"/>
  <c r="B21" i="26"/>
  <c r="B22" i="26"/>
  <c r="B23" i="26"/>
  <c r="B24" i="26"/>
  <c r="B25" i="26"/>
  <c r="B20" i="26"/>
  <c r="R15" i="57"/>
  <c r="N203" i="28" s="1"/>
  <c r="S15" i="57"/>
  <c r="U15" i="57" s="1"/>
  <c r="T15" i="57"/>
  <c r="H203" i="28" s="1"/>
  <c r="V15" i="57"/>
  <c r="R16" i="57"/>
  <c r="N204" i="28" s="1"/>
  <c r="S16" i="57"/>
  <c r="U16" i="57" s="1"/>
  <c r="T16" i="57"/>
  <c r="H204" i="28" s="1"/>
  <c r="V16" i="57"/>
  <c r="R17" i="57"/>
  <c r="N205" i="28" s="1"/>
  <c r="S17" i="57"/>
  <c r="U17" i="57" s="1"/>
  <c r="T17" i="57"/>
  <c r="H205" i="28" s="1"/>
  <c r="V17" i="57"/>
  <c r="R18" i="57"/>
  <c r="N206" i="28" s="1"/>
  <c r="S18" i="57"/>
  <c r="U18" i="57" s="1"/>
  <c r="T18" i="57"/>
  <c r="H206" i="28" s="1"/>
  <c r="V18" i="57"/>
  <c r="R19" i="57"/>
  <c r="N207" i="28" s="1"/>
  <c r="S19" i="57"/>
  <c r="U19" i="57" s="1"/>
  <c r="T19" i="57"/>
  <c r="H207" i="28" s="1"/>
  <c r="V19" i="57"/>
  <c r="R20" i="57"/>
  <c r="N208" i="28" s="1"/>
  <c r="S20" i="57"/>
  <c r="U20" i="57" s="1"/>
  <c r="T20" i="57"/>
  <c r="H208" i="28" s="1"/>
  <c r="V20" i="57"/>
  <c r="R21" i="57"/>
  <c r="N209" i="28" s="1"/>
  <c r="S21" i="57"/>
  <c r="U21" i="57" s="1"/>
  <c r="T21" i="57"/>
  <c r="H209" i="28" s="1"/>
  <c r="V21" i="57"/>
  <c r="R22" i="57"/>
  <c r="N210" i="28" s="1"/>
  <c r="S22" i="57"/>
  <c r="U22" i="57" s="1"/>
  <c r="T22" i="57"/>
  <c r="H210" i="28" s="1"/>
  <c r="V22" i="57"/>
  <c r="R23" i="57"/>
  <c r="N211" i="28" s="1"/>
  <c r="S23" i="57"/>
  <c r="U23" i="57" s="1"/>
  <c r="T23" i="57"/>
  <c r="H211" i="28" s="1"/>
  <c r="V23" i="57"/>
  <c r="R24" i="57"/>
  <c r="N212" i="28" s="1"/>
  <c r="S24" i="57"/>
  <c r="U24" i="57" s="1"/>
  <c r="T24" i="57"/>
  <c r="H212" i="28" s="1"/>
  <c r="V24" i="57"/>
  <c r="R8" i="57"/>
  <c r="N196" i="28" s="1"/>
  <c r="R9" i="57"/>
  <c r="N197" i="28" s="1"/>
  <c r="R10" i="57"/>
  <c r="N198" i="28" s="1"/>
  <c r="R11" i="57"/>
  <c r="N199" i="28" s="1"/>
  <c r="R12" i="57"/>
  <c r="N200" i="28" s="1"/>
  <c r="R13" i="57"/>
  <c r="N201" i="28" s="1"/>
  <c r="R14" i="57"/>
  <c r="N202" i="28" s="1"/>
  <c r="T5" i="57"/>
  <c r="T6" i="57"/>
  <c r="H194" i="28" s="1"/>
  <c r="T7" i="57"/>
  <c r="H195" i="28" s="1"/>
  <c r="T8" i="57"/>
  <c r="H196" i="28" s="1"/>
  <c r="T9" i="57"/>
  <c r="H197" i="28" s="1"/>
  <c r="T10" i="57"/>
  <c r="H198" i="28" s="1"/>
  <c r="T11" i="57"/>
  <c r="H199" i="28" s="1"/>
  <c r="T12" i="57"/>
  <c r="H200" i="28" s="1"/>
  <c r="T13" i="57"/>
  <c r="H201" i="28" s="1"/>
  <c r="T14" i="57"/>
  <c r="H202" i="28" s="1"/>
  <c r="S5" i="57"/>
  <c r="G193" i="28" s="1"/>
  <c r="S6" i="57"/>
  <c r="G194" i="28" s="1"/>
  <c r="S7" i="57"/>
  <c r="G195" i="28" s="1"/>
  <c r="S8" i="57"/>
  <c r="G196" i="28" s="1"/>
  <c r="S9" i="57"/>
  <c r="G197" i="28" s="1"/>
  <c r="S10" i="57"/>
  <c r="G198" i="28" s="1"/>
  <c r="S11" i="57"/>
  <c r="G199" i="28" s="1"/>
  <c r="S12" i="57"/>
  <c r="G200" i="28" s="1"/>
  <c r="S13" i="57"/>
  <c r="G201" i="28" s="1"/>
  <c r="S14" i="57"/>
  <c r="G202" i="28" s="1"/>
  <c r="V11" i="57"/>
  <c r="V7" i="57"/>
  <c r="P31" i="56"/>
  <c r="P23" i="56"/>
  <c r="P15" i="56"/>
  <c r="D141" i="28"/>
  <c r="P7" i="56"/>
  <c r="C5" i="55"/>
  <c r="C6" i="46"/>
  <c r="J6" i="46" s="1"/>
  <c r="C7" i="46"/>
  <c r="C8" i="46"/>
  <c r="J8" i="46" s="1"/>
  <c r="C9" i="46"/>
  <c r="J9" i="46" s="1"/>
  <c r="C10" i="46"/>
  <c r="J10" i="46" s="1"/>
  <c r="C11" i="46"/>
  <c r="C12" i="46"/>
  <c r="J12" i="46" s="1"/>
  <c r="C13" i="46"/>
  <c r="J13" i="46" s="1"/>
  <c r="C14" i="46"/>
  <c r="J14" i="46" s="1"/>
  <c r="C15" i="46"/>
  <c r="C16" i="46"/>
  <c r="J16" i="46" s="1"/>
  <c r="C17" i="46"/>
  <c r="J17" i="46" s="1"/>
  <c r="C18" i="46"/>
  <c r="J18" i="46" s="1"/>
  <c r="C19" i="46"/>
  <c r="C20" i="46"/>
  <c r="J20" i="46" s="1"/>
  <c r="C21" i="46"/>
  <c r="J21" i="46" s="1"/>
  <c r="C22" i="46"/>
  <c r="J22" i="46" s="1"/>
  <c r="C23" i="46"/>
  <c r="C24" i="46"/>
  <c r="J24" i="46" s="1"/>
  <c r="C25" i="46"/>
  <c r="J25" i="46" s="1"/>
  <c r="C26" i="46"/>
  <c r="J26" i="46" s="1"/>
  <c r="C27" i="46"/>
  <c r="C28" i="46"/>
  <c r="J28" i="46" s="1"/>
  <c r="C29" i="46"/>
  <c r="J29" i="46" s="1"/>
  <c r="C30" i="46"/>
  <c r="J30" i="46" s="1"/>
  <c r="C31" i="46"/>
  <c r="C32" i="46"/>
  <c r="J32" i="46" s="1"/>
  <c r="C33" i="46"/>
  <c r="J33" i="46" s="1"/>
  <c r="C34" i="46"/>
  <c r="J34" i="46" s="1"/>
  <c r="C6" i="1"/>
  <c r="R6" i="1"/>
  <c r="C7" i="1"/>
  <c r="R7" i="1"/>
  <c r="C8" i="1"/>
  <c r="R8" i="1"/>
  <c r="C9" i="1"/>
  <c r="R9" i="1"/>
  <c r="C10" i="1"/>
  <c r="R10" i="1"/>
  <c r="C11" i="1"/>
  <c r="R11" i="1"/>
  <c r="C12" i="1"/>
  <c r="R12" i="1"/>
  <c r="C13" i="1"/>
  <c r="R13" i="1"/>
  <c r="C14" i="1"/>
  <c r="R14" i="1"/>
  <c r="C15" i="1"/>
  <c r="R15" i="1"/>
  <c r="C16" i="1"/>
  <c r="R16" i="1"/>
  <c r="C17" i="1"/>
  <c r="R17" i="1"/>
  <c r="C18" i="1"/>
  <c r="R18" i="1"/>
  <c r="C19" i="1"/>
  <c r="R19" i="1"/>
  <c r="C20" i="1"/>
  <c r="R20" i="1"/>
  <c r="C21" i="1"/>
  <c r="R21" i="1"/>
  <c r="C22" i="1"/>
  <c r="R22" i="1"/>
  <c r="C23" i="1"/>
  <c r="R23" i="1"/>
  <c r="C24" i="1"/>
  <c r="R24" i="1"/>
  <c r="C25" i="1"/>
  <c r="R25" i="1"/>
  <c r="C26" i="1"/>
  <c r="R26" i="1"/>
  <c r="C27" i="1"/>
  <c r="R27" i="1"/>
  <c r="C28" i="1"/>
  <c r="R28" i="1"/>
  <c r="C29" i="1"/>
  <c r="R29" i="1"/>
  <c r="C30" i="1"/>
  <c r="R30" i="1"/>
  <c r="C31" i="1"/>
  <c r="R31" i="1"/>
  <c r="C32" i="1"/>
  <c r="R32" i="1"/>
  <c r="C33" i="1"/>
  <c r="R33" i="1"/>
  <c r="C34" i="1"/>
  <c r="R34" i="1"/>
  <c r="C35" i="1"/>
  <c r="R35" i="1"/>
  <c r="C36" i="1"/>
  <c r="R36" i="1"/>
  <c r="C37" i="1"/>
  <c r="R37" i="1"/>
  <c r="C38" i="1"/>
  <c r="R38" i="1"/>
  <c r="C39" i="1"/>
  <c r="R39" i="1"/>
  <c r="C40" i="1"/>
  <c r="R40" i="1"/>
  <c r="C41" i="1"/>
  <c r="R41" i="1"/>
  <c r="C42" i="1"/>
  <c r="R42" i="1"/>
  <c r="C43" i="1"/>
  <c r="R43" i="1"/>
  <c r="C44" i="1"/>
  <c r="R44" i="1"/>
  <c r="C45" i="1"/>
  <c r="R45" i="1"/>
  <c r="C46" i="1"/>
  <c r="R46" i="1"/>
  <c r="C47" i="1"/>
  <c r="R47" i="1"/>
  <c r="C48" i="1"/>
  <c r="R48" i="1"/>
  <c r="C49" i="1"/>
  <c r="R49" i="1"/>
  <c r="C50" i="1"/>
  <c r="R50" i="1"/>
  <c r="C51" i="1"/>
  <c r="R51" i="1"/>
  <c r="C52" i="1"/>
  <c r="R52" i="1"/>
  <c r="C53" i="1"/>
  <c r="R53" i="1"/>
  <c r="C54" i="1"/>
  <c r="R54" i="1"/>
  <c r="R5" i="1"/>
  <c r="M6" i="1" l="1"/>
  <c r="P6" i="1"/>
  <c r="O6" i="1"/>
  <c r="O10" i="1"/>
  <c r="P10" i="1"/>
  <c r="R5" i="59"/>
  <c r="Q3" i="59"/>
  <c r="R3" i="59" s="1"/>
  <c r="G203" i="28"/>
  <c r="M53" i="1"/>
  <c r="P53" i="1"/>
  <c r="O53" i="1"/>
  <c r="M43" i="1"/>
  <c r="O43" i="1"/>
  <c r="P43" i="1"/>
  <c r="M33" i="1"/>
  <c r="P33" i="1"/>
  <c r="O33" i="1"/>
  <c r="M27" i="1"/>
  <c r="P27" i="1"/>
  <c r="O27" i="1"/>
  <c r="M17" i="1"/>
  <c r="P17" i="1"/>
  <c r="O17" i="1"/>
  <c r="M51" i="1"/>
  <c r="O51" i="1"/>
  <c r="P51" i="1"/>
  <c r="P47" i="1"/>
  <c r="O47" i="1"/>
  <c r="M41" i="1"/>
  <c r="P41" i="1"/>
  <c r="O41" i="1"/>
  <c r="M37" i="1"/>
  <c r="P37" i="1"/>
  <c r="O37" i="1"/>
  <c r="M29" i="1"/>
  <c r="P29" i="1"/>
  <c r="O29" i="1"/>
  <c r="M23" i="1"/>
  <c r="P23" i="1"/>
  <c r="O23" i="1"/>
  <c r="M19" i="1"/>
  <c r="P19" i="1"/>
  <c r="O19" i="1"/>
  <c r="M15" i="1"/>
  <c r="P15" i="1"/>
  <c r="O15" i="1"/>
  <c r="M13" i="1"/>
  <c r="P13" i="1"/>
  <c r="O13" i="1"/>
  <c r="M16" i="1"/>
  <c r="P16" i="1"/>
  <c r="O16" i="1"/>
  <c r="M49" i="1"/>
  <c r="P49" i="1"/>
  <c r="O49" i="1"/>
  <c r="M45" i="1"/>
  <c r="P45" i="1"/>
  <c r="O45" i="1"/>
  <c r="M39" i="1"/>
  <c r="P39" i="1"/>
  <c r="O39" i="1"/>
  <c r="M35" i="1"/>
  <c r="O35" i="1"/>
  <c r="P35" i="1"/>
  <c r="M31" i="1"/>
  <c r="P31" i="1"/>
  <c r="O31" i="1"/>
  <c r="M25" i="1"/>
  <c r="P25" i="1"/>
  <c r="O25" i="1"/>
  <c r="M21" i="1"/>
  <c r="P21" i="1"/>
  <c r="O21" i="1"/>
  <c r="M54" i="1"/>
  <c r="P54" i="1"/>
  <c r="O54" i="1"/>
  <c r="M52" i="1"/>
  <c r="P52" i="1"/>
  <c r="O52" i="1"/>
  <c r="M50" i="1"/>
  <c r="P50" i="1"/>
  <c r="O50" i="1"/>
  <c r="M48" i="1"/>
  <c r="P48" i="1"/>
  <c r="O48" i="1"/>
  <c r="M46" i="1"/>
  <c r="P46" i="1"/>
  <c r="O46" i="1"/>
  <c r="M44" i="1"/>
  <c r="P44" i="1"/>
  <c r="O44" i="1"/>
  <c r="M42" i="1"/>
  <c r="P42" i="1"/>
  <c r="O42" i="1"/>
  <c r="M40" i="1"/>
  <c r="P40" i="1"/>
  <c r="O40" i="1"/>
  <c r="M38" i="1"/>
  <c r="P38" i="1"/>
  <c r="O38" i="1"/>
  <c r="M36" i="1"/>
  <c r="P36" i="1"/>
  <c r="O36" i="1"/>
  <c r="M34" i="1"/>
  <c r="P34" i="1"/>
  <c r="O34" i="1"/>
  <c r="M32" i="1"/>
  <c r="P32" i="1"/>
  <c r="O32" i="1"/>
  <c r="M30" i="1"/>
  <c r="P30" i="1"/>
  <c r="O30" i="1"/>
  <c r="M28" i="1"/>
  <c r="P28" i="1"/>
  <c r="O28" i="1"/>
  <c r="M26" i="1"/>
  <c r="P26" i="1"/>
  <c r="O26" i="1"/>
  <c r="M24" i="1"/>
  <c r="O24" i="1"/>
  <c r="P24" i="1"/>
  <c r="M22" i="1"/>
  <c r="P22" i="1"/>
  <c r="O22" i="1"/>
  <c r="M20" i="1"/>
  <c r="P20" i="1"/>
  <c r="O20" i="1"/>
  <c r="P18" i="1"/>
  <c r="O18" i="1"/>
  <c r="M14" i="1"/>
  <c r="P14" i="1"/>
  <c r="O14" i="1"/>
  <c r="M11" i="1"/>
  <c r="O11" i="1"/>
  <c r="P11" i="1"/>
  <c r="M12" i="1"/>
  <c r="O12" i="1"/>
  <c r="P12" i="1"/>
  <c r="M9" i="1"/>
  <c r="O9" i="1"/>
  <c r="P9" i="1"/>
  <c r="M8" i="1"/>
  <c r="P8" i="1"/>
  <c r="O8" i="1"/>
  <c r="M7" i="1"/>
  <c r="O7" i="1"/>
  <c r="P7" i="1"/>
  <c r="O5" i="55"/>
  <c r="J5" i="55"/>
  <c r="D45" i="28"/>
  <c r="F45" i="28" s="1"/>
  <c r="M47" i="1"/>
  <c r="D8" i="28"/>
  <c r="F8" i="28" s="1"/>
  <c r="M10" i="1"/>
  <c r="O31" i="46"/>
  <c r="J31" i="46"/>
  <c r="O27" i="46"/>
  <c r="J27" i="46"/>
  <c r="O23" i="46"/>
  <c r="J23" i="46"/>
  <c r="O19" i="46"/>
  <c r="J19" i="46"/>
  <c r="O15" i="46"/>
  <c r="J15" i="46"/>
  <c r="O11" i="46"/>
  <c r="J11" i="46"/>
  <c r="O7" i="46"/>
  <c r="J7" i="46"/>
  <c r="D16" i="28"/>
  <c r="F16" i="28" s="1"/>
  <c r="M18" i="1"/>
  <c r="H193" i="28"/>
  <c r="G211" i="28"/>
  <c r="G209" i="28"/>
  <c r="G212" i="28"/>
  <c r="G204" i="28"/>
  <c r="G205" i="28"/>
  <c r="G206" i="28"/>
  <c r="G210" i="28"/>
  <c r="W24" i="57"/>
  <c r="X24" i="57" s="1"/>
  <c r="G207" i="28"/>
  <c r="G208" i="28"/>
  <c r="D169" i="28"/>
  <c r="D160" i="28"/>
  <c r="D185" i="28"/>
  <c r="D21" i="28"/>
  <c r="F21" i="28" s="1"/>
  <c r="D140" i="28"/>
  <c r="D37" i="28"/>
  <c r="F37" i="28" s="1"/>
  <c r="D177" i="28"/>
  <c r="D32" i="28"/>
  <c r="F32" i="28" s="1"/>
  <c r="D13" i="28"/>
  <c r="F13" i="28" s="1"/>
  <c r="D161" i="28"/>
  <c r="D29" i="28"/>
  <c r="F29" i="28" s="1"/>
  <c r="D157" i="28"/>
  <c r="D156" i="28"/>
  <c r="D24" i="28"/>
  <c r="F24" i="28" s="1"/>
  <c r="D5" i="28"/>
  <c r="F5" i="28" s="1"/>
  <c r="D148" i="28"/>
  <c r="D149" i="28"/>
  <c r="D164" i="28"/>
  <c r="D166" i="28"/>
  <c r="D174" i="28"/>
  <c r="D138" i="28"/>
  <c r="D146" i="28"/>
  <c r="D154" i="28"/>
  <c r="D162" i="28"/>
  <c r="D52" i="28"/>
  <c r="F52" i="28" s="1"/>
  <c r="D39" i="28"/>
  <c r="F39" i="28" s="1"/>
  <c r="D19" i="28"/>
  <c r="F19" i="28" s="1"/>
  <c r="D191" i="28"/>
  <c r="D35" i="28"/>
  <c r="F35" i="28" s="1"/>
  <c r="D11" i="28"/>
  <c r="F11" i="28" s="1"/>
  <c r="P11" i="56"/>
  <c r="D139" i="28"/>
  <c r="D50" i="28"/>
  <c r="F50" i="28" s="1"/>
  <c r="D40" i="28"/>
  <c r="F40" i="28" s="1"/>
  <c r="D190" i="28"/>
  <c r="D44" i="28"/>
  <c r="F44" i="28" s="1"/>
  <c r="D47" i="28"/>
  <c r="F47" i="28" s="1"/>
  <c r="D27" i="28"/>
  <c r="F27" i="28" s="1"/>
  <c r="D175" i="28"/>
  <c r="P27" i="56"/>
  <c r="D155" i="28"/>
  <c r="D43" i="28"/>
  <c r="F43" i="28" s="1"/>
  <c r="D23" i="28"/>
  <c r="F23" i="28" s="1"/>
  <c r="D183" i="28"/>
  <c r="D48" i="28"/>
  <c r="F48" i="28" s="1"/>
  <c r="D182" i="28"/>
  <c r="D51" i="28"/>
  <c r="F51" i="28" s="1"/>
  <c r="D31" i="28"/>
  <c r="F31" i="28" s="1"/>
  <c r="D15" i="28"/>
  <c r="F15" i="28" s="1"/>
  <c r="D7" i="28"/>
  <c r="F7" i="28" s="1"/>
  <c r="D167" i="28"/>
  <c r="P19" i="56"/>
  <c r="D147" i="28"/>
  <c r="D46" i="28"/>
  <c r="F46" i="28" s="1"/>
  <c r="D42" i="28"/>
  <c r="F42" i="28" s="1"/>
  <c r="D34" i="28"/>
  <c r="F34" i="28" s="1"/>
  <c r="D26" i="28"/>
  <c r="F26" i="28" s="1"/>
  <c r="D18" i="28"/>
  <c r="F18" i="28" s="1"/>
  <c r="D10" i="28"/>
  <c r="F10" i="28" s="1"/>
  <c r="D159" i="28"/>
  <c r="D187" i="28"/>
  <c r="D179" i="28"/>
  <c r="D171" i="28"/>
  <c r="D192" i="28"/>
  <c r="D184" i="28"/>
  <c r="D176" i="28"/>
  <c r="D168" i="28"/>
  <c r="D36" i="28"/>
  <c r="F36" i="28" s="1"/>
  <c r="D28" i="28"/>
  <c r="F28" i="28" s="1"/>
  <c r="D20" i="28"/>
  <c r="F20" i="28" s="1"/>
  <c r="D12" i="28"/>
  <c r="F12" i="28" s="1"/>
  <c r="D4" i="28"/>
  <c r="F4" i="28" s="1"/>
  <c r="D153" i="28"/>
  <c r="D145" i="28"/>
  <c r="D137" i="28"/>
  <c r="D189" i="28"/>
  <c r="D181" i="28"/>
  <c r="D173" i="28"/>
  <c r="D165" i="28"/>
  <c r="D49" i="28"/>
  <c r="F49" i="28" s="1"/>
  <c r="D41" i="28"/>
  <c r="F41" i="28" s="1"/>
  <c r="D33" i="28"/>
  <c r="F33" i="28" s="1"/>
  <c r="D25" i="28"/>
  <c r="F25" i="28" s="1"/>
  <c r="D17" i="28"/>
  <c r="F17" i="28" s="1"/>
  <c r="D9" i="28"/>
  <c r="F9" i="28" s="1"/>
  <c r="D152" i="28"/>
  <c r="D144" i="28"/>
  <c r="D136" i="28"/>
  <c r="D186" i="28"/>
  <c r="D178" i="28"/>
  <c r="D170" i="28"/>
  <c r="W21" i="57"/>
  <c r="X21" i="57" s="1"/>
  <c r="W19" i="57"/>
  <c r="X19" i="57" s="1"/>
  <c r="W17" i="57"/>
  <c r="X17" i="57" s="1"/>
  <c r="D38" i="28"/>
  <c r="F38" i="28" s="1"/>
  <c r="D30" i="28"/>
  <c r="F30" i="28" s="1"/>
  <c r="D22" i="28"/>
  <c r="F22" i="28" s="1"/>
  <c r="D14" i="28"/>
  <c r="F14" i="28" s="1"/>
  <c r="D6" i="28"/>
  <c r="F6" i="28" s="1"/>
  <c r="D134" i="28"/>
  <c r="D151" i="28"/>
  <c r="D143" i="28"/>
  <c r="D135" i="28"/>
  <c r="D163" i="28"/>
  <c r="D158" i="28"/>
  <c r="D150" i="28"/>
  <c r="D142" i="28"/>
  <c r="D188" i="28"/>
  <c r="D180" i="28"/>
  <c r="D172" i="28"/>
  <c r="D133" i="28"/>
  <c r="W20" i="57"/>
  <c r="X20" i="57" s="1"/>
  <c r="W18" i="57"/>
  <c r="X18" i="57" s="1"/>
  <c r="W16" i="57"/>
  <c r="X16" i="57" s="1"/>
  <c r="W23" i="57"/>
  <c r="X23" i="57" s="1"/>
  <c r="K16" i="28"/>
  <c r="W22" i="57"/>
  <c r="X22" i="57" s="1"/>
  <c r="W15" i="57"/>
  <c r="X15" i="57" s="1"/>
  <c r="U5" i="57"/>
  <c r="U8" i="57"/>
  <c r="U13" i="57"/>
  <c r="U12" i="57"/>
  <c r="U9" i="57"/>
  <c r="V8" i="57"/>
  <c r="V12" i="57"/>
  <c r="U6" i="57"/>
  <c r="U10" i="57"/>
  <c r="W11" i="57"/>
  <c r="U14" i="57"/>
  <c r="V5" i="57"/>
  <c r="V9" i="57"/>
  <c r="W9" i="57" s="1"/>
  <c r="V13" i="57"/>
  <c r="U7" i="57"/>
  <c r="U11" i="57"/>
  <c r="V6" i="57"/>
  <c r="V10" i="57"/>
  <c r="V14" i="57"/>
  <c r="W14" i="57" s="1"/>
  <c r="P8" i="56"/>
  <c r="P12" i="56"/>
  <c r="P16" i="56"/>
  <c r="P20" i="56"/>
  <c r="P24" i="56"/>
  <c r="P28" i="56"/>
  <c r="P32" i="56"/>
  <c r="P5" i="56"/>
  <c r="P9" i="56"/>
  <c r="P13" i="56"/>
  <c r="P17" i="56"/>
  <c r="P21" i="56"/>
  <c r="P25" i="56"/>
  <c r="P29" i="56"/>
  <c r="P33" i="56"/>
  <c r="P6" i="56"/>
  <c r="P10" i="56"/>
  <c r="P14" i="56"/>
  <c r="P18" i="56"/>
  <c r="P22" i="56"/>
  <c r="P26" i="56"/>
  <c r="P30" i="56"/>
  <c r="P34" i="56"/>
  <c r="O33" i="46"/>
  <c r="O30" i="46"/>
  <c r="O29" i="46"/>
  <c r="O14" i="46"/>
  <c r="O34" i="46"/>
  <c r="O10" i="46"/>
  <c r="O22" i="46"/>
  <c r="O17" i="46"/>
  <c r="O9" i="46"/>
  <c r="O26" i="46"/>
  <c r="O21" i="46"/>
  <c r="O6" i="46"/>
  <c r="O18" i="46"/>
  <c r="O13" i="46"/>
  <c r="O25" i="46"/>
  <c r="O32" i="46"/>
  <c r="O28" i="46"/>
  <c r="O24" i="46"/>
  <c r="O20" i="46"/>
  <c r="O16" i="46"/>
  <c r="O12" i="46"/>
  <c r="O8" i="46"/>
  <c r="J8" i="28" l="1"/>
  <c r="J45" i="28"/>
  <c r="J16" i="28"/>
  <c r="G16" i="28"/>
  <c r="H16" i="28"/>
  <c r="K8" i="28"/>
  <c r="H45" i="28"/>
  <c r="G45" i="28"/>
  <c r="K45" i="28"/>
  <c r="H15" i="28"/>
  <c r="H40" i="28"/>
  <c r="K21" i="28"/>
  <c r="H21" i="28"/>
  <c r="P3" i="56"/>
  <c r="G6" i="51" s="1"/>
  <c r="D33" i="26" s="1"/>
  <c r="J5" i="28"/>
  <c r="J31" i="28"/>
  <c r="H12" i="28"/>
  <c r="J21" i="28"/>
  <c r="G21" i="28"/>
  <c r="H38" i="28"/>
  <c r="K14" i="28"/>
  <c r="G27" i="28"/>
  <c r="H27" i="28"/>
  <c r="J27" i="28"/>
  <c r="K5" i="28"/>
  <c r="J11" i="28"/>
  <c r="G31" i="28"/>
  <c r="H20" i="28"/>
  <c r="G40" i="28"/>
  <c r="H31" i="28"/>
  <c r="K40" i="28"/>
  <c r="K31" i="28"/>
  <c r="J40" i="28"/>
  <c r="G13" i="28"/>
  <c r="K23" i="28"/>
  <c r="H13" i="28"/>
  <c r="H49" i="28"/>
  <c r="G36" i="28"/>
  <c r="J36" i="28"/>
  <c r="H44" i="28"/>
  <c r="J13" i="28"/>
  <c r="K50" i="28"/>
  <c r="H23" i="28"/>
  <c r="H50" i="28"/>
  <c r="J23" i="28"/>
  <c r="K4" i="28"/>
  <c r="K13" i="28"/>
  <c r="G50" i="28"/>
  <c r="J50" i="28"/>
  <c r="G23" i="28"/>
  <c r="J4" i="28"/>
  <c r="J26" i="28"/>
  <c r="J37" i="28"/>
  <c r="K38" i="28"/>
  <c r="K27" i="28"/>
  <c r="K47" i="28"/>
  <c r="J18" i="28"/>
  <c r="K24" i="28"/>
  <c r="G30" i="28"/>
  <c r="K30" i="28"/>
  <c r="H30" i="28"/>
  <c r="J49" i="28"/>
  <c r="G37" i="28"/>
  <c r="G22" i="28"/>
  <c r="G38" i="28"/>
  <c r="J38" i="28"/>
  <c r="G24" i="28"/>
  <c r="G43" i="28"/>
  <c r="H37" i="28"/>
  <c r="J24" i="28"/>
  <c r="K37" i="28"/>
  <c r="H24" i="28"/>
  <c r="K25" i="28"/>
  <c r="J6" i="28"/>
  <c r="H25" i="28"/>
  <c r="G25" i="28"/>
  <c r="G46" i="28"/>
  <c r="H36" i="28"/>
  <c r="J29" i="28"/>
  <c r="K52" i="28"/>
  <c r="G32" i="28"/>
  <c r="G49" i="28"/>
  <c r="H26" i="28"/>
  <c r="H52" i="28"/>
  <c r="J30" i="28"/>
  <c r="G10" i="28"/>
  <c r="G52" i="28"/>
  <c r="H28" i="28"/>
  <c r="J32" i="28"/>
  <c r="K32" i="28"/>
  <c r="G26" i="28"/>
  <c r="H29" i="28"/>
  <c r="J35" i="28"/>
  <c r="J52" i="28"/>
  <c r="K36" i="28"/>
  <c r="K29" i="28"/>
  <c r="G15" i="28"/>
  <c r="G29" i="28"/>
  <c r="H46" i="28"/>
  <c r="H32" i="28"/>
  <c r="J28" i="28"/>
  <c r="G14" i="28"/>
  <c r="G33" i="28"/>
  <c r="H18" i="28"/>
  <c r="J19" i="28"/>
  <c r="J51" i="28"/>
  <c r="K18" i="28"/>
  <c r="G47" i="28"/>
  <c r="H19" i="28"/>
  <c r="H47" i="28"/>
  <c r="J20" i="28"/>
  <c r="K22" i="28"/>
  <c r="K48" i="28"/>
  <c r="K19" i="28"/>
  <c r="H10" i="28"/>
  <c r="J10" i="28"/>
  <c r="K51" i="28"/>
  <c r="H33" i="28"/>
  <c r="G18" i="28"/>
  <c r="J22" i="28"/>
  <c r="J43" i="28"/>
  <c r="K6" i="28"/>
  <c r="K26" i="28"/>
  <c r="K41" i="28"/>
  <c r="K43" i="28"/>
  <c r="G19" i="28"/>
  <c r="G51" i="28"/>
  <c r="H22" i="28"/>
  <c r="H41" i="28"/>
  <c r="H51" i="28"/>
  <c r="K33" i="28"/>
  <c r="G41" i="28"/>
  <c r="H14" i="28"/>
  <c r="H43" i="28"/>
  <c r="J14" i="28"/>
  <c r="J33" i="28"/>
  <c r="J47" i="28"/>
  <c r="K10" i="28"/>
  <c r="K49" i="28"/>
  <c r="J12" i="28"/>
  <c r="K7" i="28"/>
  <c r="G39" i="28"/>
  <c r="K20" i="28"/>
  <c r="G48" i="28"/>
  <c r="H39" i="28"/>
  <c r="J46" i="28"/>
  <c r="K17" i="28"/>
  <c r="K39" i="28"/>
  <c r="J44" i="28"/>
  <c r="K34" i="28"/>
  <c r="G9" i="28"/>
  <c r="G17" i="28"/>
  <c r="H48" i="28"/>
  <c r="J7" i="28"/>
  <c r="J15" i="28"/>
  <c r="J39" i="28"/>
  <c r="G34" i="28"/>
  <c r="G42" i="28"/>
  <c r="H9" i="28"/>
  <c r="H17" i="28"/>
  <c r="J48" i="28"/>
  <c r="K42" i="28"/>
  <c r="K35" i="28"/>
  <c r="K11" i="28"/>
  <c r="G11" i="28"/>
  <c r="G35" i="28"/>
  <c r="H34" i="28"/>
  <c r="H42" i="28"/>
  <c r="J9" i="28"/>
  <c r="J17" i="28"/>
  <c r="J25" i="28"/>
  <c r="J41" i="28"/>
  <c r="K12" i="28"/>
  <c r="K28" i="28"/>
  <c r="K44" i="28"/>
  <c r="K15" i="28"/>
  <c r="K9" i="28"/>
  <c r="G12" i="28"/>
  <c r="G20" i="28"/>
  <c r="G28" i="28"/>
  <c r="G44" i="28"/>
  <c r="H11" i="28"/>
  <c r="H35" i="28"/>
  <c r="J34" i="28"/>
  <c r="J42" i="28"/>
  <c r="K46" i="28"/>
  <c r="W10" i="57"/>
  <c r="X10" i="57" s="1"/>
  <c r="W13" i="57"/>
  <c r="X13" i="57" s="1"/>
  <c r="X9" i="57"/>
  <c r="X14" i="57"/>
  <c r="V3" i="57"/>
  <c r="G8" i="51" s="1"/>
  <c r="D35" i="26" s="1"/>
  <c r="C19" i="33" s="1"/>
  <c r="U3" i="57"/>
  <c r="F8" i="51" s="1"/>
  <c r="C35" i="26" s="1"/>
  <c r="S3" i="57"/>
  <c r="D8" i="51" s="1"/>
  <c r="C25" i="26" s="1"/>
  <c r="W12" i="57"/>
  <c r="X12" i="57" s="1"/>
  <c r="X11" i="57"/>
  <c r="W8" i="57"/>
  <c r="X8" i="57" s="1"/>
  <c r="T3" i="57"/>
  <c r="E8" i="51" s="1"/>
  <c r="D25" i="26" s="1"/>
  <c r="O3" i="55"/>
  <c r="G7" i="51" s="1"/>
  <c r="D34" i="26" s="1"/>
  <c r="C7" i="27" l="1"/>
  <c r="J7" i="27" s="1"/>
  <c r="C8" i="27"/>
  <c r="J8" i="27" s="1"/>
  <c r="C9" i="27"/>
  <c r="J9" i="27" s="1"/>
  <c r="C10" i="27"/>
  <c r="J10" i="27" s="1"/>
  <c r="C11" i="27"/>
  <c r="J11" i="27" s="1"/>
  <c r="C12" i="27"/>
  <c r="J12" i="27" s="1"/>
  <c r="C13" i="27"/>
  <c r="J13" i="27" s="1"/>
  <c r="C14" i="27"/>
  <c r="J14" i="27" s="1"/>
  <c r="C15" i="27"/>
  <c r="J15" i="27" s="1"/>
  <c r="C16" i="27"/>
  <c r="J16" i="27" s="1"/>
  <c r="C17" i="27"/>
  <c r="J17" i="27" s="1"/>
  <c r="C18" i="27"/>
  <c r="J18" i="27" s="1"/>
  <c r="C19" i="27"/>
  <c r="J19" i="27" s="1"/>
  <c r="C20" i="27"/>
  <c r="J20" i="27" s="1"/>
  <c r="C21" i="27"/>
  <c r="J21" i="27" s="1"/>
  <c r="C22" i="27"/>
  <c r="J22" i="27" s="1"/>
  <c r="C23" i="27"/>
  <c r="J23" i="27" s="1"/>
  <c r="C24" i="27"/>
  <c r="J24" i="27" s="1"/>
  <c r="C25" i="27"/>
  <c r="J25" i="27" s="1"/>
  <c r="C26" i="27"/>
  <c r="J26" i="27" s="1"/>
  <c r="C27" i="27"/>
  <c r="J27" i="27" s="1"/>
  <c r="C28" i="27"/>
  <c r="J28" i="27" s="1"/>
  <c r="C29" i="27"/>
  <c r="J29" i="27" s="1"/>
  <c r="C30" i="27"/>
  <c r="J30" i="27" s="1"/>
  <c r="C31" i="27"/>
  <c r="J31" i="27" s="1"/>
  <c r="C32" i="27"/>
  <c r="J32" i="27" s="1"/>
  <c r="C33" i="27"/>
  <c r="J33" i="27" s="1"/>
  <c r="C34" i="27"/>
  <c r="J34" i="27" s="1"/>
  <c r="C35" i="27"/>
  <c r="J35" i="27" s="1"/>
  <c r="C36" i="27"/>
  <c r="J36" i="27" s="1"/>
  <c r="C37" i="27"/>
  <c r="J37" i="27" s="1"/>
  <c r="C38" i="27"/>
  <c r="J38" i="27" s="1"/>
  <c r="C39" i="27"/>
  <c r="J39" i="27" s="1"/>
  <c r="C40" i="27"/>
  <c r="J40" i="27" s="1"/>
  <c r="C41" i="27"/>
  <c r="J41" i="27" s="1"/>
  <c r="C42" i="27"/>
  <c r="J42" i="27" s="1"/>
  <c r="C43" i="27"/>
  <c r="J43" i="27" s="1"/>
  <c r="C44" i="27"/>
  <c r="J44" i="27" s="1"/>
  <c r="C45" i="27"/>
  <c r="J45" i="27" s="1"/>
  <c r="C46" i="27"/>
  <c r="J46" i="27" s="1"/>
  <c r="C47" i="27"/>
  <c r="J47" i="27" s="1"/>
  <c r="C48" i="27"/>
  <c r="J48" i="27" s="1"/>
  <c r="C49" i="27"/>
  <c r="J49" i="27" s="1"/>
  <c r="C50" i="27"/>
  <c r="J50" i="27" s="1"/>
  <c r="C51" i="27"/>
  <c r="J51" i="27" s="1"/>
  <c r="C52" i="27"/>
  <c r="J52" i="27" s="1"/>
  <c r="C53" i="27"/>
  <c r="J53" i="27" s="1"/>
  <c r="C54" i="27"/>
  <c r="J54" i="27" s="1"/>
  <c r="C55" i="27"/>
  <c r="J55" i="27" s="1"/>
  <c r="C6" i="27"/>
  <c r="J6" i="27" s="1"/>
  <c r="D101" i="28" l="1"/>
  <c r="D100" i="28"/>
  <c r="D92" i="28"/>
  <c r="D84" i="28"/>
  <c r="D76" i="28"/>
  <c r="D68" i="28"/>
  <c r="D60" i="28"/>
  <c r="D93" i="28"/>
  <c r="D99" i="28"/>
  <c r="D91" i="28"/>
  <c r="D83" i="28"/>
  <c r="D75" i="28"/>
  <c r="D67" i="28"/>
  <c r="D59" i="28"/>
  <c r="D61" i="28"/>
  <c r="D98" i="28"/>
  <c r="D90" i="28"/>
  <c r="D82" i="28"/>
  <c r="D74" i="28"/>
  <c r="D66" i="28"/>
  <c r="D58" i="28"/>
  <c r="D97" i="28"/>
  <c r="D89" i="28"/>
  <c r="D81" i="28"/>
  <c r="D73" i="28"/>
  <c r="D65" i="28"/>
  <c r="D57" i="28"/>
  <c r="D69" i="28"/>
  <c r="D96" i="28"/>
  <c r="D88" i="28"/>
  <c r="D80" i="28"/>
  <c r="D72" i="28"/>
  <c r="D64" i="28"/>
  <c r="D56" i="28"/>
  <c r="D85" i="28"/>
  <c r="D95" i="28"/>
  <c r="D87" i="28"/>
  <c r="D79" i="28"/>
  <c r="D71" i="28"/>
  <c r="D63" i="28"/>
  <c r="D55" i="28"/>
  <c r="D77" i="28"/>
  <c r="D102" i="28"/>
  <c r="D94" i="28"/>
  <c r="D86" i="28"/>
  <c r="D78" i="28"/>
  <c r="D70" i="28"/>
  <c r="D62" i="28"/>
  <c r="D54" i="28"/>
  <c r="F6" i="27"/>
  <c r="E53" i="28" s="1"/>
  <c r="M6" i="27"/>
  <c r="K6" i="27"/>
  <c r="L6" i="27"/>
  <c r="O6" i="27"/>
  <c r="O12" i="27"/>
  <c r="P12" i="27" s="1"/>
  <c r="O54" i="27"/>
  <c r="P54" i="27" s="1"/>
  <c r="O52" i="27"/>
  <c r="P52" i="27"/>
  <c r="O50" i="27"/>
  <c r="P50" i="27" s="1"/>
  <c r="O48" i="27"/>
  <c r="P48" i="27"/>
  <c r="O46" i="27"/>
  <c r="P46" i="27" s="1"/>
  <c r="O44" i="27"/>
  <c r="P44" i="27"/>
  <c r="O42" i="27"/>
  <c r="P42" i="27" s="1"/>
  <c r="O40" i="27"/>
  <c r="P40" i="27"/>
  <c r="O38" i="27"/>
  <c r="P38" i="27" s="1"/>
  <c r="O36" i="27"/>
  <c r="P36" i="27"/>
  <c r="O34" i="27"/>
  <c r="P34" i="27" s="1"/>
  <c r="O32" i="27"/>
  <c r="P32" i="27"/>
  <c r="O30" i="27"/>
  <c r="P30" i="27" s="1"/>
  <c r="O28" i="27"/>
  <c r="P28" i="27"/>
  <c r="O26" i="27"/>
  <c r="P26" i="27" s="1"/>
  <c r="O24" i="27"/>
  <c r="P24" i="27"/>
  <c r="O22" i="27"/>
  <c r="P22" i="27" s="1"/>
  <c r="O20" i="27"/>
  <c r="P20" i="27"/>
  <c r="O18" i="27"/>
  <c r="P18" i="27" s="1"/>
  <c r="O16" i="27"/>
  <c r="P16" i="27"/>
  <c r="O14" i="27"/>
  <c r="P14" i="27" s="1"/>
  <c r="O9" i="27"/>
  <c r="O11" i="27"/>
  <c r="P11" i="27"/>
  <c r="O8" i="27"/>
  <c r="O55" i="27"/>
  <c r="P55" i="27" s="1"/>
  <c r="O53" i="27"/>
  <c r="P53" i="27"/>
  <c r="O51" i="27"/>
  <c r="P51" i="27" s="1"/>
  <c r="O49" i="27"/>
  <c r="P49" i="27"/>
  <c r="O47" i="27"/>
  <c r="P47" i="27" s="1"/>
  <c r="O45" i="27"/>
  <c r="P45" i="27"/>
  <c r="O43" i="27"/>
  <c r="P43" i="27" s="1"/>
  <c r="O41" i="27"/>
  <c r="P41" i="27"/>
  <c r="O39" i="27"/>
  <c r="P39" i="27" s="1"/>
  <c r="O37" i="27"/>
  <c r="P37" i="27"/>
  <c r="O35" i="27"/>
  <c r="P35" i="27" s="1"/>
  <c r="O33" i="27"/>
  <c r="P33" i="27"/>
  <c r="O31" i="27"/>
  <c r="P31" i="27" s="1"/>
  <c r="O29" i="27"/>
  <c r="P29" i="27"/>
  <c r="O27" i="27"/>
  <c r="P27" i="27" s="1"/>
  <c r="O25" i="27"/>
  <c r="P25" i="27"/>
  <c r="O23" i="27"/>
  <c r="P23" i="27" s="1"/>
  <c r="O21" i="27"/>
  <c r="P21" i="27"/>
  <c r="O19" i="27"/>
  <c r="P19" i="27" s="1"/>
  <c r="O17" i="27"/>
  <c r="P17" i="27"/>
  <c r="O15" i="27"/>
  <c r="P15" i="27" s="1"/>
  <c r="O13" i="27"/>
  <c r="P13" i="27"/>
  <c r="O10" i="27"/>
  <c r="P10" i="27"/>
  <c r="O7" i="27"/>
  <c r="P6" i="27" l="1"/>
  <c r="B104" i="28"/>
  <c r="C104" i="28"/>
  <c r="F104" i="28"/>
  <c r="J104" i="28"/>
  <c r="K104" i="28"/>
  <c r="M104" i="28"/>
  <c r="B105" i="28"/>
  <c r="C105" i="28"/>
  <c r="F105" i="28"/>
  <c r="J105" i="28"/>
  <c r="K105" i="28"/>
  <c r="M105" i="28"/>
  <c r="B106" i="28"/>
  <c r="C106" i="28"/>
  <c r="F106" i="28"/>
  <c r="J106" i="28"/>
  <c r="K106" i="28"/>
  <c r="M106" i="28"/>
  <c r="B107" i="28"/>
  <c r="C107" i="28"/>
  <c r="F107" i="28"/>
  <c r="J107" i="28"/>
  <c r="K107" i="28"/>
  <c r="M107" i="28"/>
  <c r="B108" i="28"/>
  <c r="C108" i="28"/>
  <c r="F108" i="28"/>
  <c r="J108" i="28"/>
  <c r="K108" i="28"/>
  <c r="M108" i="28"/>
  <c r="B109" i="28"/>
  <c r="C109" i="28"/>
  <c r="F109" i="28"/>
  <c r="J109" i="28"/>
  <c r="K109" i="28"/>
  <c r="M109" i="28"/>
  <c r="B110" i="28"/>
  <c r="C110" i="28"/>
  <c r="F110" i="28"/>
  <c r="J110" i="28"/>
  <c r="K110" i="28"/>
  <c r="M110" i="28"/>
  <c r="B111" i="28"/>
  <c r="C111" i="28"/>
  <c r="F111" i="28"/>
  <c r="J111" i="28"/>
  <c r="K111" i="28"/>
  <c r="M111" i="28"/>
  <c r="B112" i="28"/>
  <c r="C112" i="28"/>
  <c r="F112" i="28"/>
  <c r="J112" i="28"/>
  <c r="K112" i="28"/>
  <c r="M112" i="28"/>
  <c r="B113" i="28"/>
  <c r="C113" i="28"/>
  <c r="F113" i="28"/>
  <c r="J113" i="28"/>
  <c r="K113" i="28"/>
  <c r="M113" i="28"/>
  <c r="B114" i="28"/>
  <c r="C114" i="28"/>
  <c r="F114" i="28"/>
  <c r="J114" i="28"/>
  <c r="K114" i="28"/>
  <c r="M114" i="28"/>
  <c r="B115" i="28"/>
  <c r="C115" i="28"/>
  <c r="F115" i="28"/>
  <c r="J115" i="28"/>
  <c r="K115" i="28"/>
  <c r="M115" i="28"/>
  <c r="B116" i="28"/>
  <c r="C116" i="28"/>
  <c r="F116" i="28"/>
  <c r="J116" i="28"/>
  <c r="K116" i="28"/>
  <c r="M116" i="28"/>
  <c r="B117" i="28"/>
  <c r="C117" i="28"/>
  <c r="F117" i="28"/>
  <c r="J117" i="28"/>
  <c r="K117" i="28"/>
  <c r="M117" i="28"/>
  <c r="B118" i="28"/>
  <c r="C118" i="28"/>
  <c r="F118" i="28"/>
  <c r="J118" i="28"/>
  <c r="K118" i="28"/>
  <c r="M118" i="28"/>
  <c r="B119" i="28"/>
  <c r="C119" i="28"/>
  <c r="F119" i="28"/>
  <c r="J119" i="28"/>
  <c r="K119" i="28"/>
  <c r="M119" i="28"/>
  <c r="B120" i="28"/>
  <c r="C120" i="28"/>
  <c r="F120" i="28"/>
  <c r="J120" i="28"/>
  <c r="K120" i="28"/>
  <c r="M120" i="28"/>
  <c r="B121" i="28"/>
  <c r="C121" i="28"/>
  <c r="F121" i="28"/>
  <c r="J121" i="28"/>
  <c r="K121" i="28"/>
  <c r="M121" i="28"/>
  <c r="B122" i="28"/>
  <c r="C122" i="28"/>
  <c r="F122" i="28"/>
  <c r="J122" i="28"/>
  <c r="K122" i="28"/>
  <c r="M122" i="28"/>
  <c r="B123" i="28"/>
  <c r="C123" i="28"/>
  <c r="F123" i="28"/>
  <c r="J123" i="28"/>
  <c r="K123" i="28"/>
  <c r="M123" i="28"/>
  <c r="B124" i="28"/>
  <c r="C124" i="28"/>
  <c r="F124" i="28"/>
  <c r="J124" i="28"/>
  <c r="K124" i="28"/>
  <c r="M124" i="28"/>
  <c r="B125" i="28"/>
  <c r="C125" i="28"/>
  <c r="F125" i="28"/>
  <c r="J125" i="28"/>
  <c r="K125" i="28"/>
  <c r="M125" i="28"/>
  <c r="B126" i="28"/>
  <c r="C126" i="28"/>
  <c r="F126" i="28"/>
  <c r="J126" i="28"/>
  <c r="K126" i="28"/>
  <c r="M126" i="28"/>
  <c r="B127" i="28"/>
  <c r="C127" i="28"/>
  <c r="F127" i="28"/>
  <c r="J127" i="28"/>
  <c r="K127" i="28"/>
  <c r="M127" i="28"/>
  <c r="B128" i="28"/>
  <c r="C128" i="28"/>
  <c r="F128" i="28"/>
  <c r="J128" i="28"/>
  <c r="K128" i="28"/>
  <c r="M128" i="28"/>
  <c r="B129" i="28"/>
  <c r="C129" i="28"/>
  <c r="F129" i="28"/>
  <c r="J129" i="28"/>
  <c r="K129" i="28"/>
  <c r="M129" i="28"/>
  <c r="B130" i="28"/>
  <c r="C130" i="28"/>
  <c r="F130" i="28"/>
  <c r="J130" i="28"/>
  <c r="K130" i="28"/>
  <c r="M130" i="28"/>
  <c r="B131" i="28"/>
  <c r="C131" i="28"/>
  <c r="F131" i="28"/>
  <c r="J131" i="28"/>
  <c r="K131" i="28"/>
  <c r="M131" i="28"/>
  <c r="B132" i="28"/>
  <c r="C132" i="28"/>
  <c r="F132" i="28"/>
  <c r="J132" i="28"/>
  <c r="K132" i="28"/>
  <c r="M132" i="28"/>
  <c r="M103" i="28"/>
  <c r="K103" i="28"/>
  <c r="J103" i="28"/>
  <c r="F103" i="28"/>
  <c r="C103" i="28"/>
  <c r="B54" i="28"/>
  <c r="B55" i="28"/>
  <c r="B56" i="28"/>
  <c r="B57" i="28"/>
  <c r="B58" i="28"/>
  <c r="B59" i="28"/>
  <c r="B60" i="28"/>
  <c r="B61" i="28"/>
  <c r="B62" i="28"/>
  <c r="B63" i="28"/>
  <c r="B64" i="28"/>
  <c r="B65" i="28"/>
  <c r="B66" i="28"/>
  <c r="B67" i="28"/>
  <c r="B68" i="28"/>
  <c r="B69" i="28"/>
  <c r="B70" i="28"/>
  <c r="B71" i="28"/>
  <c r="B72" i="28"/>
  <c r="B73" i="28"/>
  <c r="B74" i="28"/>
  <c r="B75" i="28"/>
  <c r="B76" i="28"/>
  <c r="B77" i="28"/>
  <c r="B78" i="28"/>
  <c r="B79" i="28"/>
  <c r="B80" i="28"/>
  <c r="B81" i="28"/>
  <c r="B82" i="28"/>
  <c r="B83" i="28"/>
  <c r="B84" i="28"/>
  <c r="B85" i="28"/>
  <c r="B86" i="28"/>
  <c r="B87" i="28"/>
  <c r="B88" i="28"/>
  <c r="B89" i="28"/>
  <c r="B90" i="28"/>
  <c r="B91" i="28"/>
  <c r="B92" i="28"/>
  <c r="B93" i="28"/>
  <c r="B94" i="28"/>
  <c r="B95" i="28"/>
  <c r="B96" i="28"/>
  <c r="B97" i="28"/>
  <c r="B98" i="28"/>
  <c r="B99" i="28"/>
  <c r="B100" i="28"/>
  <c r="B101" i="28"/>
  <c r="B102" i="28"/>
  <c r="B4" i="28"/>
  <c r="C4" i="28"/>
  <c r="B5" i="28"/>
  <c r="C5" i="28"/>
  <c r="B6" i="28"/>
  <c r="C6" i="28"/>
  <c r="B7" i="28"/>
  <c r="C7" i="28"/>
  <c r="B8" i="28"/>
  <c r="C8" i="28"/>
  <c r="B9" i="28"/>
  <c r="C9" i="28"/>
  <c r="B10" i="28"/>
  <c r="C10" i="28"/>
  <c r="B11" i="28"/>
  <c r="C11" i="28"/>
  <c r="B12" i="28"/>
  <c r="C12" i="28"/>
  <c r="B13" i="28"/>
  <c r="C13" i="28"/>
  <c r="B14" i="28"/>
  <c r="C14" i="28"/>
  <c r="B15" i="28"/>
  <c r="C15" i="28"/>
  <c r="B16" i="28"/>
  <c r="C16" i="28"/>
  <c r="B17" i="28"/>
  <c r="C17" i="28"/>
  <c r="B18" i="28"/>
  <c r="C18" i="28"/>
  <c r="B19" i="28"/>
  <c r="C19" i="28"/>
  <c r="B20" i="28"/>
  <c r="C20" i="28"/>
  <c r="B21" i="28"/>
  <c r="C21" i="28"/>
  <c r="B22" i="28"/>
  <c r="C22" i="28"/>
  <c r="B23" i="28"/>
  <c r="C23" i="28"/>
  <c r="B24" i="28"/>
  <c r="C24" i="28"/>
  <c r="B25" i="28"/>
  <c r="C25" i="28"/>
  <c r="B26" i="28"/>
  <c r="C26" i="28"/>
  <c r="B27" i="28"/>
  <c r="C27" i="28"/>
  <c r="B28" i="28"/>
  <c r="C28" i="28"/>
  <c r="B29" i="28"/>
  <c r="C29" i="28"/>
  <c r="B30" i="28"/>
  <c r="C30" i="28"/>
  <c r="B31" i="28"/>
  <c r="C31" i="28"/>
  <c r="B32" i="28"/>
  <c r="C32" i="28"/>
  <c r="B33" i="28"/>
  <c r="C33" i="28"/>
  <c r="B34" i="28"/>
  <c r="C34" i="28"/>
  <c r="B35" i="28"/>
  <c r="C35" i="28"/>
  <c r="B36" i="28"/>
  <c r="C36" i="28"/>
  <c r="B37" i="28"/>
  <c r="C37" i="28"/>
  <c r="B38" i="28"/>
  <c r="C38" i="28"/>
  <c r="B39" i="28"/>
  <c r="C39" i="28"/>
  <c r="B40" i="28"/>
  <c r="C40" i="28"/>
  <c r="B41" i="28"/>
  <c r="C41" i="28"/>
  <c r="B42" i="28"/>
  <c r="C42" i="28"/>
  <c r="B43" i="28"/>
  <c r="C43" i="28"/>
  <c r="B44" i="28"/>
  <c r="C44" i="28"/>
  <c r="B45" i="28"/>
  <c r="C45" i="28"/>
  <c r="B46" i="28"/>
  <c r="C46" i="28"/>
  <c r="B47" i="28"/>
  <c r="C47" i="28"/>
  <c r="B48" i="28"/>
  <c r="C48" i="28"/>
  <c r="B49" i="28"/>
  <c r="C49" i="28"/>
  <c r="B50" i="28"/>
  <c r="C50" i="28"/>
  <c r="B51" i="28"/>
  <c r="C51" i="28"/>
  <c r="B52" i="28"/>
  <c r="C52" i="28"/>
  <c r="K53" i="28"/>
  <c r="J53" i="28"/>
  <c r="F53" i="28"/>
  <c r="D53" i="28"/>
  <c r="C53" i="28"/>
  <c r="C3" i="28"/>
  <c r="P8" i="53"/>
  <c r="Q8" i="53"/>
  <c r="R8" i="53"/>
  <c r="O8" i="53"/>
  <c r="N7" i="53"/>
  <c r="N5" i="53"/>
  <c r="N4" i="53"/>
  <c r="I7" i="53"/>
  <c r="H7" i="53"/>
  <c r="G7" i="53"/>
  <c r="F7" i="53"/>
  <c r="E7" i="53"/>
  <c r="D7" i="53"/>
  <c r="C7" i="53"/>
  <c r="B7" i="53"/>
  <c r="N6" i="53"/>
  <c r="I6" i="53"/>
  <c r="H6" i="53"/>
  <c r="G6" i="53"/>
  <c r="F6" i="53"/>
  <c r="E6" i="53"/>
  <c r="D6" i="53"/>
  <c r="C6" i="53"/>
  <c r="B6" i="53"/>
  <c r="M5" i="53"/>
  <c r="I5" i="53"/>
  <c r="H5" i="53"/>
  <c r="G5" i="53"/>
  <c r="F5" i="53"/>
  <c r="E5" i="53"/>
  <c r="D5" i="53"/>
  <c r="C5" i="53"/>
  <c r="B5" i="53"/>
  <c r="L4" i="53"/>
  <c r="K4" i="53"/>
  <c r="J4" i="53"/>
  <c r="J8" i="53" s="1"/>
  <c r="I4" i="53"/>
  <c r="I8" i="53" s="1"/>
  <c r="H4" i="53"/>
  <c r="H8" i="53" s="1"/>
  <c r="G4" i="53"/>
  <c r="G8" i="53" s="1"/>
  <c r="F4" i="53"/>
  <c r="F8" i="53" s="1"/>
  <c r="E4" i="53"/>
  <c r="E8" i="53" s="1"/>
  <c r="D4" i="53"/>
  <c r="D8" i="53" s="1"/>
  <c r="C4" i="53"/>
  <c r="C8" i="53" s="1"/>
  <c r="B4" i="53"/>
  <c r="B8" i="53" s="1"/>
  <c r="D24" i="52"/>
  <c r="D18" i="52"/>
  <c r="D30" i="52" s="1"/>
  <c r="D33" i="52" l="1"/>
  <c r="D32" i="52"/>
  <c r="D31" i="52"/>
  <c r="D23" i="52"/>
  <c r="D25" i="52"/>
  <c r="D22" i="52"/>
  <c r="B15" i="52"/>
  <c r="D17" i="52"/>
  <c r="D19" i="52"/>
  <c r="D16" i="52"/>
  <c r="B40" i="26" l="1"/>
  <c r="B37" i="41"/>
  <c r="B6" i="22"/>
  <c r="R7" i="57" s="1"/>
  <c r="N195" i="28" l="1"/>
  <c r="W7" i="57"/>
  <c r="X7" i="57" s="1"/>
  <c r="R5" i="57"/>
  <c r="N193" i="28" s="1"/>
  <c r="R6" i="57"/>
  <c r="R3" i="1"/>
  <c r="G3" i="51" s="1"/>
  <c r="D30" i="26" s="1"/>
  <c r="H53" i="28"/>
  <c r="R3" i="57" l="1"/>
  <c r="C8" i="51" s="1"/>
  <c r="I8" i="51" s="1"/>
  <c r="W5" i="57"/>
  <c r="X5" i="57" s="1"/>
  <c r="N194" i="28"/>
  <c r="W6" i="57"/>
  <c r="X6" i="57" s="1"/>
  <c r="C5" i="46"/>
  <c r="J5" i="46" s="1"/>
  <c r="AN5" i="22"/>
  <c r="AN6" i="22"/>
  <c r="AN7" i="22"/>
  <c r="AN8" i="22"/>
  <c r="AN9" i="22"/>
  <c r="AN10" i="22"/>
  <c r="AN11" i="22"/>
  <c r="AN12" i="22"/>
  <c r="AN13" i="22"/>
  <c r="AN4" i="22"/>
  <c r="W3" i="57" l="1"/>
  <c r="X3" i="57" s="1"/>
  <c r="M5" i="46"/>
  <c r="L5" i="46"/>
  <c r="K5" i="46"/>
  <c r="O5" i="46"/>
  <c r="D103" i="28"/>
  <c r="F5" i="46"/>
  <c r="D120" i="28"/>
  <c r="D110" i="28"/>
  <c r="D126" i="28"/>
  <c r="D112" i="28"/>
  <c r="D118" i="28"/>
  <c r="D111" i="28"/>
  <c r="D119" i="28"/>
  <c r="D127" i="28"/>
  <c r="D128" i="28"/>
  <c r="D105" i="28"/>
  <c r="D113" i="28"/>
  <c r="D121" i="28"/>
  <c r="D129" i="28"/>
  <c r="D104" i="28"/>
  <c r="D106" i="28"/>
  <c r="D114" i="28"/>
  <c r="D122" i="28"/>
  <c r="D130" i="28"/>
  <c r="D107" i="28"/>
  <c r="D115" i="28"/>
  <c r="D123" i="28"/>
  <c r="D131" i="28"/>
  <c r="D108" i="28"/>
  <c r="D116" i="28"/>
  <c r="D124" i="28"/>
  <c r="D132" i="28"/>
  <c r="D109" i="28"/>
  <c r="D117" i="28"/>
  <c r="D125" i="28"/>
  <c r="G53" i="28"/>
  <c r="H8" i="51" l="1"/>
  <c r="O3" i="46"/>
  <c r="G5" i="51" s="1"/>
  <c r="H103" i="28"/>
  <c r="N103" i="28"/>
  <c r="P5" i="46"/>
  <c r="N53" i="28"/>
  <c r="N6" i="27"/>
  <c r="D32" i="26" l="1"/>
  <c r="G103" i="28"/>
  <c r="N5" i="46" l="1"/>
  <c r="Q5" i="46" l="1"/>
  <c r="C5" i="1"/>
  <c r="O5" i="1" l="1"/>
  <c r="P5" i="1"/>
  <c r="M5" i="1"/>
  <c r="N5" i="1" s="1"/>
  <c r="F5" i="1"/>
  <c r="E3" i="28" s="1"/>
  <c r="S5" i="1" l="1"/>
  <c r="N3" i="28"/>
  <c r="M35" i="28"/>
  <c r="M51" i="28"/>
  <c r="M13" i="28"/>
  <c r="M34" i="28"/>
  <c r="M48" i="28"/>
  <c r="M23" i="28"/>
  <c r="M38" i="28"/>
  <c r="M26" i="28"/>
  <c r="M27" i="28"/>
  <c r="M52" i="28"/>
  <c r="M43" i="28"/>
  <c r="M21" i="28"/>
  <c r="M6" i="28"/>
  <c r="M49" i="28"/>
  <c r="M16" i="28"/>
  <c r="M32" i="28"/>
  <c r="M30" i="28"/>
  <c r="M45" i="28"/>
  <c r="M36" i="28"/>
  <c r="M44" i="28"/>
  <c r="M47" i="28"/>
  <c r="M4" i="28"/>
  <c r="M9" i="28"/>
  <c r="M50" i="28"/>
  <c r="M14" i="28"/>
  <c r="M33" i="28"/>
  <c r="M41" i="28"/>
  <c r="M24" i="28"/>
  <c r="M25" i="28"/>
  <c r="M40" i="28"/>
  <c r="M10" i="28"/>
  <c r="M29" i="28"/>
  <c r="M20" i="28"/>
  <c r="M39" i="28"/>
  <c r="M37" i="28"/>
  <c r="M12" i="28"/>
  <c r="M5" i="28"/>
  <c r="M42" i="28"/>
  <c r="M22" i="28"/>
  <c r="M15" i="28"/>
  <c r="M7" i="28"/>
  <c r="M8" i="28"/>
  <c r="M17" i="28"/>
  <c r="M46" i="28"/>
  <c r="M18" i="28"/>
  <c r="M19" i="28"/>
  <c r="M11" i="28"/>
  <c r="M28" i="28"/>
  <c r="M31" i="28"/>
  <c r="Q5" i="1"/>
  <c r="T5" i="1" l="1"/>
  <c r="O4" i="27" l="1"/>
  <c r="G4" i="51" s="1"/>
  <c r="D31" i="26" l="1"/>
  <c r="G9" i="51"/>
  <c r="B103" i="28"/>
  <c r="B53" i="28"/>
  <c r="B3" i="28"/>
  <c r="D37" i="26" l="1"/>
  <c r="B19" i="33"/>
  <c r="Q6" i="27"/>
  <c r="C11" i="26" l="1"/>
  <c r="D3" i="28"/>
  <c r="K3" i="28" l="1"/>
  <c r="J3" i="28"/>
  <c r="F3" i="28"/>
  <c r="M3" i="28"/>
  <c r="H3" i="28"/>
  <c r="G3" i="28"/>
  <c r="B26" i="33" l="1"/>
  <c r="D19" i="33"/>
  <c r="C13" i="52" l="1"/>
  <c r="F38" i="1" l="1"/>
  <c r="E36" i="28" s="1"/>
  <c r="F15" i="46"/>
  <c r="F6" i="46"/>
  <c r="F20" i="46"/>
  <c r="F17" i="46"/>
  <c r="F16" i="46"/>
  <c r="F24" i="46"/>
  <c r="F29" i="46"/>
  <c r="H5" i="28"/>
  <c r="N18" i="56" l="1"/>
  <c r="H146" i="28" s="1"/>
  <c r="M9" i="56"/>
  <c r="G137" i="28" s="1"/>
  <c r="L30" i="46"/>
  <c r="L32" i="46"/>
  <c r="F27" i="46"/>
  <c r="F14" i="46"/>
  <c r="F30" i="46"/>
  <c r="F11" i="46"/>
  <c r="F7" i="46"/>
  <c r="Q44" i="1"/>
  <c r="K24" i="46"/>
  <c r="L11" i="56"/>
  <c r="F51" i="1"/>
  <c r="E49" i="28" s="1"/>
  <c r="M8" i="46"/>
  <c r="H106" i="28" s="1"/>
  <c r="N30" i="1"/>
  <c r="N27" i="1"/>
  <c r="E173" i="28"/>
  <c r="F20" i="56"/>
  <c r="E148" i="28" s="1"/>
  <c r="F33" i="46"/>
  <c r="F19" i="46"/>
  <c r="N46" i="1"/>
  <c r="L5" i="56"/>
  <c r="K49" i="27"/>
  <c r="N96" i="28" s="1"/>
  <c r="K19" i="46"/>
  <c r="F21" i="46"/>
  <c r="L42" i="27"/>
  <c r="K50" i="27"/>
  <c r="N97" i="28" s="1"/>
  <c r="M20" i="56"/>
  <c r="F45" i="1"/>
  <c r="E43" i="28" s="1"/>
  <c r="K17" i="46"/>
  <c r="H6" i="28"/>
  <c r="F9" i="46"/>
  <c r="F32" i="46"/>
  <c r="H7" i="28"/>
  <c r="F13" i="46"/>
  <c r="L32" i="56"/>
  <c r="M7" i="56"/>
  <c r="M34" i="56"/>
  <c r="N21" i="56"/>
  <c r="H149" i="28" s="1"/>
  <c r="N30" i="56"/>
  <c r="H158" i="28" s="1"/>
  <c r="N19" i="56"/>
  <c r="H147" i="28" s="1"/>
  <c r="M23" i="56"/>
  <c r="M16" i="56"/>
  <c r="N6" i="56"/>
  <c r="H134" i="28" s="1"/>
  <c r="N28" i="56"/>
  <c r="H156" i="28" s="1"/>
  <c r="M25" i="56"/>
  <c r="N27" i="56"/>
  <c r="H155" i="28" s="1"/>
  <c r="M10" i="56"/>
  <c r="M30" i="56"/>
  <c r="N33" i="56"/>
  <c r="H161" i="28" s="1"/>
  <c r="N11" i="56"/>
  <c r="H139" i="28" s="1"/>
  <c r="M26" i="56"/>
  <c r="N20" i="56"/>
  <c r="H148" i="28" s="1"/>
  <c r="M29" i="56"/>
  <c r="N8" i="56"/>
  <c r="H136" i="28" s="1"/>
  <c r="M18" i="56"/>
  <c r="N25" i="56"/>
  <c r="H153" i="28" s="1"/>
  <c r="N14" i="56"/>
  <c r="H142" i="28" s="1"/>
  <c r="M22" i="56"/>
  <c r="N26" i="56"/>
  <c r="H154" i="28" s="1"/>
  <c r="N13" i="56"/>
  <c r="H141" i="28" s="1"/>
  <c r="M11" i="56"/>
  <c r="N12" i="56"/>
  <c r="H140" i="28" s="1"/>
  <c r="N17" i="56"/>
  <c r="H145" i="28" s="1"/>
  <c r="N16" i="56"/>
  <c r="H144" i="28" s="1"/>
  <c r="N34" i="56"/>
  <c r="H162" i="28" s="1"/>
  <c r="N24" i="56"/>
  <c r="H152" i="28" s="1"/>
  <c r="N10" i="56"/>
  <c r="H138" i="28" s="1"/>
  <c r="M15" i="56"/>
  <c r="M33" i="56"/>
  <c r="M5" i="56"/>
  <c r="N5" i="56"/>
  <c r="M13" i="56"/>
  <c r="M12" i="56"/>
  <c r="N9" i="56"/>
  <c r="H137" i="28" s="1"/>
  <c r="N7" i="56"/>
  <c r="H135" i="28" s="1"/>
  <c r="N23" i="56"/>
  <c r="H151" i="28" s="1"/>
  <c r="M17" i="56"/>
  <c r="N15" i="56"/>
  <c r="H143" i="28" s="1"/>
  <c r="M24" i="56"/>
  <c r="M32" i="56"/>
  <c r="N29" i="56"/>
  <c r="H157" i="28" s="1"/>
  <c r="M14" i="56"/>
  <c r="M27" i="56"/>
  <c r="M19" i="56"/>
  <c r="N22" i="56"/>
  <c r="H150" i="28" s="1"/>
  <c r="N32" i="56"/>
  <c r="H160" i="28" s="1"/>
  <c r="M31" i="56"/>
  <c r="M6" i="56"/>
  <c r="N31" i="56"/>
  <c r="H159" i="28" s="1"/>
  <c r="M28" i="56"/>
  <c r="K12" i="27"/>
  <c r="N59" i="28" s="1"/>
  <c r="H183" i="28"/>
  <c r="Q28" i="1"/>
  <c r="M8" i="56"/>
  <c r="L10" i="46"/>
  <c r="N34" i="1"/>
  <c r="N42" i="1"/>
  <c r="F8" i="46"/>
  <c r="F28" i="46"/>
  <c r="F10" i="46"/>
  <c r="F34" i="46"/>
  <c r="F18" i="46"/>
  <c r="F22" i="46"/>
  <c r="E192" i="28"/>
  <c r="L12" i="46"/>
  <c r="N17" i="1"/>
  <c r="L46" i="27"/>
  <c r="M21" i="56"/>
  <c r="N7" i="1"/>
  <c r="Q29" i="1"/>
  <c r="K39" i="27"/>
  <c r="N86" i="28" s="1"/>
  <c r="F25" i="46"/>
  <c r="F23" i="46"/>
  <c r="F26" i="46"/>
  <c r="F31" i="46"/>
  <c r="F12" i="46"/>
  <c r="K13" i="27"/>
  <c r="N60" i="28" s="1"/>
  <c r="Q23" i="1"/>
  <c r="K9" i="27"/>
  <c r="M34" i="27"/>
  <c r="H81" i="28" s="1"/>
  <c r="Q47" i="1"/>
  <c r="M18" i="27"/>
  <c r="H65" i="28" s="1"/>
  <c r="L27" i="46"/>
  <c r="F29" i="1"/>
  <c r="E27" i="28" s="1"/>
  <c r="F21" i="56"/>
  <c r="E149" i="28" s="1"/>
  <c r="Q12" i="1"/>
  <c r="F49" i="27"/>
  <c r="E96" i="28" s="1"/>
  <c r="K37" i="27"/>
  <c r="N84" i="28" s="1"/>
  <c r="F22" i="27"/>
  <c r="E69" i="28" s="1"/>
  <c r="M13" i="27"/>
  <c r="H60" i="28" s="1"/>
  <c r="Q33" i="1"/>
  <c r="L47" i="27"/>
  <c r="F15" i="27"/>
  <c r="E62" i="28" s="1"/>
  <c r="L14" i="46"/>
  <c r="L41" i="27"/>
  <c r="M30" i="27"/>
  <c r="H77" i="28" s="1"/>
  <c r="Q48" i="1"/>
  <c r="K11" i="27"/>
  <c r="N58" i="28" s="1"/>
  <c r="L26" i="46"/>
  <c r="K20" i="27"/>
  <c r="N67" i="28" s="1"/>
  <c r="M7" i="27"/>
  <c r="N52" i="1"/>
  <c r="K47" i="27"/>
  <c r="N94" i="28" s="1"/>
  <c r="L31" i="46"/>
  <c r="L8" i="46"/>
  <c r="N44" i="1"/>
  <c r="K30" i="27"/>
  <c r="N77" i="28" s="1"/>
  <c r="E164" i="28"/>
  <c r="F19" i="1"/>
  <c r="E17" i="28" s="1"/>
  <c r="K22" i="46"/>
  <c r="L16" i="46"/>
  <c r="M22" i="27"/>
  <c r="H69" i="28" s="1"/>
  <c r="K26" i="27"/>
  <c r="N73" i="28" s="1"/>
  <c r="F12" i="56"/>
  <c r="E140" i="28" s="1"/>
  <c r="Q41" i="1"/>
  <c r="K38" i="27"/>
  <c r="N85" i="28" s="1"/>
  <c r="M39" i="27"/>
  <c r="H86" i="28" s="1"/>
  <c r="F10" i="56"/>
  <c r="E138" i="28" s="1"/>
  <c r="E184" i="28"/>
  <c r="F23" i="56"/>
  <c r="E151" i="28" s="1"/>
  <c r="M28" i="27"/>
  <c r="H75" i="28" s="1"/>
  <c r="M11" i="46"/>
  <c r="H109" i="28" s="1"/>
  <c r="N40" i="1"/>
  <c r="M15" i="46"/>
  <c r="H113" i="28" s="1"/>
  <c r="F25" i="1"/>
  <c r="E23" i="28" s="1"/>
  <c r="Q40" i="1"/>
  <c r="M16" i="27"/>
  <c r="H63" i="28" s="1"/>
  <c r="N49" i="1"/>
  <c r="F51" i="27"/>
  <c r="E98" i="28" s="1"/>
  <c r="F46" i="27"/>
  <c r="E93" i="28" s="1"/>
  <c r="F52" i="1"/>
  <c r="E50" i="28" s="1"/>
  <c r="L33" i="46"/>
  <c r="F12" i="1"/>
  <c r="E10" i="28" s="1"/>
  <c r="F35" i="1"/>
  <c r="E33" i="28" s="1"/>
  <c r="F16" i="1"/>
  <c r="E14" i="28" s="1"/>
  <c r="M19" i="46"/>
  <c r="H117" i="28" s="1"/>
  <c r="L28" i="27"/>
  <c r="M21" i="27"/>
  <c r="H68" i="28" s="1"/>
  <c r="F14" i="1"/>
  <c r="E12" i="28" s="1"/>
  <c r="H178" i="28"/>
  <c r="M20" i="46"/>
  <c r="H118" i="28" s="1"/>
  <c r="E182" i="28"/>
  <c r="L7" i="56"/>
  <c r="Q26" i="1"/>
  <c r="F20" i="1"/>
  <c r="E18" i="28" s="1"/>
  <c r="F16" i="56"/>
  <c r="E144" i="28" s="1"/>
  <c r="Q22" i="1"/>
  <c r="L40" i="27"/>
  <c r="K54" i="27"/>
  <c r="N101" i="28" s="1"/>
  <c r="F10" i="27"/>
  <c r="E57" i="28" s="1"/>
  <c r="Q50" i="1"/>
  <c r="M45" i="27"/>
  <c r="H92" i="28" s="1"/>
  <c r="F42" i="1"/>
  <c r="E40" i="28" s="1"/>
  <c r="L53" i="27"/>
  <c r="F35" i="27"/>
  <c r="E82" i="28" s="1"/>
  <c r="M24" i="46"/>
  <c r="H122" i="28" s="1"/>
  <c r="K52" i="27"/>
  <c r="N99" i="28" s="1"/>
  <c r="M38" i="27"/>
  <c r="H85" i="28" s="1"/>
  <c r="M49" i="27"/>
  <c r="H96" i="28" s="1"/>
  <c r="F13" i="27"/>
  <c r="E60" i="28" s="1"/>
  <c r="M32" i="46"/>
  <c r="H130" i="28" s="1"/>
  <c r="M26" i="46"/>
  <c r="H124" i="28" s="1"/>
  <c r="L25" i="46"/>
  <c r="H181" i="28"/>
  <c r="L30" i="27"/>
  <c r="M33" i="27"/>
  <c r="H80" i="28" s="1"/>
  <c r="L34" i="46"/>
  <c r="H171" i="28"/>
  <c r="Q25" i="1"/>
  <c r="F26" i="56"/>
  <c r="E154" i="28" s="1"/>
  <c r="K51" i="27"/>
  <c r="N98" i="28" s="1"/>
  <c r="N47" i="1"/>
  <c r="F45" i="27"/>
  <c r="E92" i="28" s="1"/>
  <c r="M32" i="27"/>
  <c r="H79" i="28" s="1"/>
  <c r="F54" i="1"/>
  <c r="E52" i="28" s="1"/>
  <c r="M34" i="46"/>
  <c r="H132" i="28" s="1"/>
  <c r="F27" i="56"/>
  <c r="E155" i="28" s="1"/>
  <c r="F25" i="56"/>
  <c r="E153" i="28" s="1"/>
  <c r="F22" i="56"/>
  <c r="E150" i="28" s="1"/>
  <c r="M33" i="46"/>
  <c r="H131" i="28" s="1"/>
  <c r="F47" i="27"/>
  <c r="E94" i="28" s="1"/>
  <c r="L54" i="27"/>
  <c r="M23" i="27"/>
  <c r="H70" i="28" s="1"/>
  <c r="L49" i="27"/>
  <c r="Q21" i="1"/>
  <c r="N36" i="1"/>
  <c r="Q36" i="1"/>
  <c r="K22" i="27"/>
  <c r="N69" i="28" s="1"/>
  <c r="F30" i="56"/>
  <c r="E158" i="28" s="1"/>
  <c r="E191" i="28"/>
  <c r="F17" i="1"/>
  <c r="E15" i="28" s="1"/>
  <c r="F49" i="1"/>
  <c r="E47" i="28" s="1"/>
  <c r="K21" i="27"/>
  <c r="N68" i="28" s="1"/>
  <c r="F31" i="1"/>
  <c r="E29" i="28" s="1"/>
  <c r="M48" i="27"/>
  <c r="H95" i="28" s="1"/>
  <c r="Q43" i="1"/>
  <c r="L21" i="27"/>
  <c r="M36" i="27"/>
  <c r="H83" i="28" s="1"/>
  <c r="H165" i="28"/>
  <c r="F28" i="56"/>
  <c r="E156" i="28" s="1"/>
  <c r="K18" i="27"/>
  <c r="N65" i="28" s="1"/>
  <c r="F33" i="1"/>
  <c r="E31" i="28" s="1"/>
  <c r="M22" i="46"/>
  <c r="H120" i="28" s="1"/>
  <c r="L14" i="56"/>
  <c r="M13" i="46"/>
  <c r="H111" i="28" s="1"/>
  <c r="F40" i="27"/>
  <c r="E87" i="28" s="1"/>
  <c r="L17" i="46"/>
  <c r="Q49" i="1"/>
  <c r="F11" i="56"/>
  <c r="E139" i="28" s="1"/>
  <c r="F40" i="1"/>
  <c r="E38" i="28" s="1"/>
  <c r="L12" i="27"/>
  <c r="F17" i="27"/>
  <c r="E64" i="28" s="1"/>
  <c r="L20" i="46"/>
  <c r="F14" i="56"/>
  <c r="E142" i="28" s="1"/>
  <c r="F7" i="27"/>
  <c r="E54" i="28" s="1"/>
  <c r="L29" i="56"/>
  <c r="F37" i="27"/>
  <c r="E84" i="28" s="1"/>
  <c r="F43" i="27"/>
  <c r="E90" i="28" s="1"/>
  <c r="L28" i="56"/>
  <c r="K26" i="46"/>
  <c r="Q15" i="1"/>
  <c r="H167" i="28"/>
  <c r="N29" i="1"/>
  <c r="F14" i="27"/>
  <c r="E61" i="28" s="1"/>
  <c r="Q30" i="1"/>
  <c r="F7" i="1"/>
  <c r="E5" i="28" s="1"/>
  <c r="K20" i="46"/>
  <c r="M6" i="46"/>
  <c r="L27" i="27"/>
  <c r="H166" i="28"/>
  <c r="E175" i="28"/>
  <c r="L31" i="56"/>
  <c r="M42" i="27"/>
  <c r="H89" i="28" s="1"/>
  <c r="F9" i="56"/>
  <c r="E137" i="28" s="1"/>
  <c r="K23" i="27"/>
  <c r="N70" i="28" s="1"/>
  <c r="F24" i="56"/>
  <c r="E152" i="28" s="1"/>
  <c r="F32" i="56"/>
  <c r="E160" i="28" s="1"/>
  <c r="M12" i="27"/>
  <c r="H59" i="28" s="1"/>
  <c r="M15" i="27"/>
  <c r="H62" i="28" s="1"/>
  <c r="H176" i="28"/>
  <c r="M23" i="46"/>
  <c r="H121" i="28" s="1"/>
  <c r="M14" i="46"/>
  <c r="H112" i="28" s="1"/>
  <c r="H186" i="28"/>
  <c r="K31" i="46"/>
  <c r="N39" i="1"/>
  <c r="K14" i="27"/>
  <c r="N61" i="28" s="1"/>
  <c r="L6" i="46"/>
  <c r="Q35" i="1"/>
  <c r="K27" i="46"/>
  <c r="L23" i="46"/>
  <c r="K9" i="46"/>
  <c r="F6" i="56"/>
  <c r="E134" i="28" s="1"/>
  <c r="H170" i="28"/>
  <c r="M17" i="27"/>
  <c r="H64" i="28" s="1"/>
  <c r="M21" i="46"/>
  <c r="H119" i="28" s="1"/>
  <c r="F9" i="1"/>
  <c r="E7" i="28" s="1"/>
  <c r="K36" i="27"/>
  <c r="N83" i="28" s="1"/>
  <c r="E188" i="28"/>
  <c r="E186" i="28"/>
  <c r="N14" i="1"/>
  <c r="Q20" i="1"/>
  <c r="F6" i="1"/>
  <c r="E4" i="28" s="1"/>
  <c r="F31" i="27"/>
  <c r="E78" i="28" s="1"/>
  <c r="E185" i="28"/>
  <c r="H177" i="28"/>
  <c r="L48" i="27"/>
  <c r="K42" i="27"/>
  <c r="N89" i="28" s="1"/>
  <c r="N43" i="1"/>
  <c r="K15" i="27"/>
  <c r="N62" i="28" s="1"/>
  <c r="K45" i="27"/>
  <c r="N92" i="28" s="1"/>
  <c r="L34" i="27"/>
  <c r="K55" i="27"/>
  <c r="N102" i="28" s="1"/>
  <c r="F15" i="1"/>
  <c r="E13" i="28" s="1"/>
  <c r="H172" i="28"/>
  <c r="F15" i="56"/>
  <c r="E143" i="28" s="1"/>
  <c r="L9" i="27"/>
  <c r="Q51" i="1"/>
  <c r="F22" i="1"/>
  <c r="E20" i="28" s="1"/>
  <c r="M40" i="27"/>
  <c r="H87" i="28" s="1"/>
  <c r="M19" i="27"/>
  <c r="H66" i="28" s="1"/>
  <c r="F44" i="27"/>
  <c r="E91" i="28" s="1"/>
  <c r="F53" i="1"/>
  <c r="E51" i="28" s="1"/>
  <c r="M54" i="27"/>
  <c r="H101" i="28" s="1"/>
  <c r="F32" i="27"/>
  <c r="E79" i="28" s="1"/>
  <c r="L44" i="27"/>
  <c r="K12" i="46"/>
  <c r="F48" i="27"/>
  <c r="E95" i="28" s="1"/>
  <c r="K48" i="27"/>
  <c r="N95" i="28" s="1"/>
  <c r="Q52" i="1"/>
  <c r="F5" i="55"/>
  <c r="E163" i="28" s="1"/>
  <c r="L22" i="27"/>
  <c r="L35" i="27"/>
  <c r="K25" i="46"/>
  <c r="K29" i="27"/>
  <c r="N76" i="28" s="1"/>
  <c r="M28" i="46"/>
  <c r="H126" i="28" s="1"/>
  <c r="F21" i="1"/>
  <c r="E19" i="28" s="1"/>
  <c r="F33" i="27"/>
  <c r="E80" i="28" s="1"/>
  <c r="L14" i="27"/>
  <c r="N35" i="1"/>
  <c r="L22" i="56"/>
  <c r="F39" i="1"/>
  <c r="E37" i="28" s="1"/>
  <c r="N41" i="1"/>
  <c r="L24" i="27"/>
  <c r="M44" i="27"/>
  <c r="H91" i="28" s="1"/>
  <c r="Q54" i="1"/>
  <c r="F30" i="1"/>
  <c r="E28" i="28" s="1"/>
  <c r="Q31" i="1"/>
  <c r="M35" i="27"/>
  <c r="H82" i="28" s="1"/>
  <c r="M24" i="27"/>
  <c r="H71" i="28" s="1"/>
  <c r="L45" i="27"/>
  <c r="H174" i="28"/>
  <c r="H164" i="28"/>
  <c r="F55" i="27"/>
  <c r="E102" i="28" s="1"/>
  <c r="F46" i="1"/>
  <c r="E44" i="28" s="1"/>
  <c r="L13" i="56"/>
  <c r="N13" i="1"/>
  <c r="K10" i="46"/>
  <c r="M26" i="27"/>
  <c r="H73" i="28" s="1"/>
  <c r="F18" i="27"/>
  <c r="E65" i="28" s="1"/>
  <c r="L55" i="27"/>
  <c r="L43" i="27"/>
  <c r="H190" i="28"/>
  <c r="K33" i="27"/>
  <c r="N80" i="28" s="1"/>
  <c r="F33" i="56"/>
  <c r="E161" i="28" s="1"/>
  <c r="M14" i="27"/>
  <c r="H61" i="28" s="1"/>
  <c r="N53" i="1"/>
  <c r="F18" i="56"/>
  <c r="E146" i="28" s="1"/>
  <c r="K41" i="27"/>
  <c r="N88" i="28" s="1"/>
  <c r="K34" i="46"/>
  <c r="F50" i="1"/>
  <c r="E48" i="28" s="1"/>
  <c r="L17" i="27"/>
  <c r="L16" i="56"/>
  <c r="M53" i="27"/>
  <c r="H100" i="28" s="1"/>
  <c r="E174" i="28"/>
  <c r="Q42" i="1"/>
  <c r="F36" i="27"/>
  <c r="E83" i="28" s="1"/>
  <c r="L19" i="46"/>
  <c r="K18" i="46"/>
  <c r="E189" i="28"/>
  <c r="Q27" i="1"/>
  <c r="N54" i="1"/>
  <c r="L22" i="46"/>
  <c r="N16" i="1"/>
  <c r="M17" i="46"/>
  <c r="H115" i="28" s="1"/>
  <c r="F8" i="1"/>
  <c r="E6" i="28" s="1"/>
  <c r="Q53" i="1"/>
  <c r="F26" i="1"/>
  <c r="E24" i="28" s="1"/>
  <c r="Q38" i="1"/>
  <c r="F29" i="27"/>
  <c r="E76" i="28" s="1"/>
  <c r="F27" i="27"/>
  <c r="E74" i="28" s="1"/>
  <c r="H173" i="28"/>
  <c r="K44" i="27"/>
  <c r="N91" i="28" s="1"/>
  <c r="K15" i="46"/>
  <c r="M41" i="27"/>
  <c r="H88" i="28" s="1"/>
  <c r="Q45" i="1"/>
  <c r="M9" i="27"/>
  <c r="H56" i="28" s="1"/>
  <c r="F18" i="1"/>
  <c r="E16" i="28" s="1"/>
  <c r="L38" i="27"/>
  <c r="K7" i="27"/>
  <c r="P7" i="27" s="1"/>
  <c r="M10" i="27"/>
  <c r="H57" i="28" s="1"/>
  <c r="L36" i="27"/>
  <c r="M55" i="27"/>
  <c r="H102" i="28" s="1"/>
  <c r="Q39" i="1"/>
  <c r="K16" i="27"/>
  <c r="N63" i="28" s="1"/>
  <c r="N25" i="1"/>
  <c r="M29" i="46"/>
  <c r="H127" i="28" s="1"/>
  <c r="F19" i="27"/>
  <c r="E66" i="28" s="1"/>
  <c r="L21" i="46"/>
  <c r="F19" i="56"/>
  <c r="E147" i="28" s="1"/>
  <c r="M5" i="55"/>
  <c r="N8" i="1"/>
  <c r="F24" i="1"/>
  <c r="E22" i="28" s="1"/>
  <c r="F13" i="1"/>
  <c r="E11" i="28" s="1"/>
  <c r="N21" i="1"/>
  <c r="L5" i="55"/>
  <c r="L26" i="56"/>
  <c r="F28" i="1"/>
  <c r="E26" i="28" s="1"/>
  <c r="L16" i="27"/>
  <c r="F36" i="1"/>
  <c r="E34" i="28" s="1"/>
  <c r="E181" i="28"/>
  <c r="E190" i="28"/>
  <c r="M8" i="27"/>
  <c r="H55" i="28" s="1"/>
  <c r="M29" i="27"/>
  <c r="H76" i="28" s="1"/>
  <c r="H169" i="28"/>
  <c r="H184" i="28"/>
  <c r="L11" i="46"/>
  <c r="M30" i="46"/>
  <c r="H128" i="28" s="1"/>
  <c r="F28" i="27"/>
  <c r="E75" i="28" s="1"/>
  <c r="Q16" i="1"/>
  <c r="M31" i="46"/>
  <c r="H129" i="28" s="1"/>
  <c r="E169" i="28"/>
  <c r="E177" i="28"/>
  <c r="F12" i="27"/>
  <c r="E59" i="28" s="1"/>
  <c r="K7" i="46"/>
  <c r="L15" i="27"/>
  <c r="F50" i="27"/>
  <c r="E97" i="28" s="1"/>
  <c r="M31" i="27"/>
  <c r="H78" i="28" s="1"/>
  <c r="F25" i="27"/>
  <c r="E72" i="28" s="1"/>
  <c r="M46" i="27"/>
  <c r="H93" i="28" s="1"/>
  <c r="F37" i="1"/>
  <c r="E35" i="28" s="1"/>
  <c r="F54" i="27"/>
  <c r="E101" i="28" s="1"/>
  <c r="F11" i="1"/>
  <c r="E9" i="28" s="1"/>
  <c r="L30" i="56"/>
  <c r="M9" i="46"/>
  <c r="H107" i="28" s="1"/>
  <c r="L13" i="27"/>
  <c r="K34" i="27"/>
  <c r="N81" i="28" s="1"/>
  <c r="E179" i="28"/>
  <c r="L15" i="46"/>
  <c r="N32" i="1"/>
  <c r="M20" i="27"/>
  <c r="H67" i="28" s="1"/>
  <c r="H182" i="28"/>
  <c r="M11" i="27"/>
  <c r="H58" i="28" s="1"/>
  <c r="F47" i="1"/>
  <c r="E45" i="28" s="1"/>
  <c r="F43" i="1"/>
  <c r="E41" i="28" s="1"/>
  <c r="Q32" i="1"/>
  <c r="K28" i="46"/>
  <c r="K10" i="27"/>
  <c r="N57" i="28" s="1"/>
  <c r="K24" i="27"/>
  <c r="N71" i="28" s="1"/>
  <c r="L52" i="27"/>
  <c r="M10" i="46"/>
  <c r="H108" i="28" s="1"/>
  <c r="K19" i="27"/>
  <c r="N66" i="28" s="1"/>
  <c r="F13" i="56"/>
  <c r="E141" i="28" s="1"/>
  <c r="H179" i="28"/>
  <c r="L28" i="46"/>
  <c r="K46" i="27"/>
  <c r="N93" i="28" s="1"/>
  <c r="K29" i="46"/>
  <c r="N31" i="1"/>
  <c r="K40" i="27"/>
  <c r="N87" i="28" s="1"/>
  <c r="H168" i="28"/>
  <c r="K16" i="46"/>
  <c r="M25" i="27"/>
  <c r="H72" i="28" s="1"/>
  <c r="E178" i="28"/>
  <c r="Q46" i="1"/>
  <c r="L26" i="27"/>
  <c r="E171" i="28"/>
  <c r="F10" i="1"/>
  <c r="E8" i="28" s="1"/>
  <c r="M18" i="46"/>
  <c r="H116" i="28" s="1"/>
  <c r="Q34" i="1"/>
  <c r="F7" i="56"/>
  <c r="E135" i="28" s="1"/>
  <c r="H185" i="28"/>
  <c r="N45" i="1"/>
  <c r="M16" i="46"/>
  <c r="H114" i="28" s="1"/>
  <c r="H189" i="28"/>
  <c r="H175" i="28"/>
  <c r="K6" i="46"/>
  <c r="M7" i="46"/>
  <c r="H105" i="28" s="1"/>
  <c r="N11" i="1"/>
  <c r="N22" i="1"/>
  <c r="H191" i="28"/>
  <c r="Q13" i="1"/>
  <c r="F5" i="56"/>
  <c r="E133" i="28" s="1"/>
  <c r="F17" i="56"/>
  <c r="E145" i="28" s="1"/>
  <c r="M47" i="27"/>
  <c r="H94" i="28" s="1"/>
  <c r="E183" i="28"/>
  <c r="F31" i="56"/>
  <c r="E159" i="28" s="1"/>
  <c r="L20" i="27"/>
  <c r="E180" i="28"/>
  <c r="H192" i="28"/>
  <c r="N19" i="1"/>
  <c r="M27" i="46"/>
  <c r="H125" i="28" s="1"/>
  <c r="F32" i="1"/>
  <c r="E30" i="28" s="1"/>
  <c r="N50" i="1"/>
  <c r="F23" i="27"/>
  <c r="E70" i="28" s="1"/>
  <c r="M52" i="27"/>
  <c r="H99" i="28" s="1"/>
  <c r="E187" i="28"/>
  <c r="F52" i="27"/>
  <c r="E99" i="28" s="1"/>
  <c r="F24" i="27"/>
  <c r="E71" i="28" s="1"/>
  <c r="L23" i="56"/>
  <c r="Q37" i="1"/>
  <c r="K32" i="27"/>
  <c r="N79" i="28" s="1"/>
  <c r="F38" i="27"/>
  <c r="E85" i="28" s="1"/>
  <c r="K27" i="27"/>
  <c r="N74" i="28" s="1"/>
  <c r="H188" i="28"/>
  <c r="K5" i="55"/>
  <c r="F8" i="27"/>
  <c r="E55" i="28" s="1"/>
  <c r="L25" i="56"/>
  <c r="K17" i="27"/>
  <c r="N64" i="28" s="1"/>
  <c r="M51" i="27"/>
  <c r="H98" i="28" s="1"/>
  <c r="L32" i="27"/>
  <c r="F39" i="27"/>
  <c r="E86" i="28" s="1"/>
  <c r="H180" i="28"/>
  <c r="L7" i="46"/>
  <c r="L7" i="27"/>
  <c r="Q19" i="1"/>
  <c r="L37" i="27"/>
  <c r="L6" i="56"/>
  <c r="E172" i="28"/>
  <c r="L11" i="27"/>
  <c r="N37" i="1"/>
  <c r="N18" i="1"/>
  <c r="L27" i="56"/>
  <c r="N28" i="1"/>
  <c r="F48" i="1"/>
  <c r="E46" i="28" s="1"/>
  <c r="F23" i="1"/>
  <c r="E21" i="28" s="1"/>
  <c r="E165" i="28"/>
  <c r="F8" i="56"/>
  <c r="E136" i="28" s="1"/>
  <c r="E176" i="28"/>
  <c r="L24" i="56"/>
  <c r="M12" i="46"/>
  <c r="H110" i="28" s="1"/>
  <c r="N48" i="1"/>
  <c r="K43" i="27"/>
  <c r="N90" i="28" s="1"/>
  <c r="N15" i="1"/>
  <c r="M50" i="27"/>
  <c r="H97" i="28" s="1"/>
  <c r="N12" i="1"/>
  <c r="L8" i="56"/>
  <c r="F20" i="27"/>
  <c r="E67" i="28" s="1"/>
  <c r="L51" i="27"/>
  <c r="L34" i="56"/>
  <c r="N51" i="1"/>
  <c r="F41" i="1"/>
  <c r="E39" i="28" s="1"/>
  <c r="M25" i="46"/>
  <c r="H123" i="28" s="1"/>
  <c r="L29" i="27"/>
  <c r="E167" i="28"/>
  <c r="F26" i="27"/>
  <c r="E73" i="28" s="1"/>
  <c r="K8" i="46"/>
  <c r="N38" i="1"/>
  <c r="L15" i="56"/>
  <c r="F27" i="1"/>
  <c r="E25" i="28" s="1"/>
  <c r="F11" i="27"/>
  <c r="E58" i="28" s="1"/>
  <c r="Q11" i="1"/>
  <c r="Q24" i="1"/>
  <c r="L19" i="27"/>
  <c r="F29" i="56"/>
  <c r="E157" i="28" s="1"/>
  <c r="F41" i="27"/>
  <c r="E88" i="28" s="1"/>
  <c r="L9" i="56"/>
  <c r="L24" i="46"/>
  <c r="L19" i="56"/>
  <c r="K21" i="46"/>
  <c r="L50" i="27"/>
  <c r="F34" i="1"/>
  <c r="E32" i="28" s="1"/>
  <c r="F30" i="27"/>
  <c r="E77" i="28" s="1"/>
  <c r="K33" i="46"/>
  <c r="N20" i="1"/>
  <c r="L18" i="27"/>
  <c r="K25" i="27"/>
  <c r="N72" i="28" s="1"/>
  <c r="H4" i="28"/>
  <c r="F34" i="56"/>
  <c r="E162" i="28" s="1"/>
  <c r="F53" i="27"/>
  <c r="E100" i="28" s="1"/>
  <c r="N9" i="1"/>
  <c r="F21" i="27"/>
  <c r="E68" i="28" s="1"/>
  <c r="E170" i="28"/>
  <c r="F42" i="27"/>
  <c r="E89" i="28" s="1"/>
  <c r="F44" i="1"/>
  <c r="E42" i="28" s="1"/>
  <c r="L39" i="27"/>
  <c r="L31" i="27"/>
  <c r="L29" i="46"/>
  <c r="K31" i="27"/>
  <c r="N78" i="28" s="1"/>
  <c r="M27" i="27"/>
  <c r="H74" i="28" s="1"/>
  <c r="K11" i="46"/>
  <c r="L18" i="46"/>
  <c r="F9" i="27"/>
  <c r="E56" i="28" s="1"/>
  <c r="H187" i="28"/>
  <c r="K30" i="46"/>
  <c r="L33" i="27"/>
  <c r="E166" i="28"/>
  <c r="K53" i="27"/>
  <c r="N100" i="28" s="1"/>
  <c r="L20" i="56"/>
  <c r="G4" i="28"/>
  <c r="E168" i="28"/>
  <c r="F34" i="27"/>
  <c r="E81" i="28" s="1"/>
  <c r="K23" i="46"/>
  <c r="L13" i="46"/>
  <c r="L10" i="56"/>
  <c r="Q14" i="1"/>
  <c r="N33" i="1"/>
  <c r="L9" i="46"/>
  <c r="K13" i="46"/>
  <c r="L23" i="27"/>
  <c r="L18" i="56"/>
  <c r="L17" i="56"/>
  <c r="K28" i="27"/>
  <c r="N75" i="28" s="1"/>
  <c r="L8" i="27"/>
  <c r="K35" i="27"/>
  <c r="N82" i="28" s="1"/>
  <c r="L21" i="56"/>
  <c r="L25" i="27"/>
  <c r="L12" i="56"/>
  <c r="N26" i="1"/>
  <c r="L10" i="27"/>
  <c r="N6" i="1"/>
  <c r="N10" i="1"/>
  <c r="M37" i="27"/>
  <c r="H84" i="28" s="1"/>
  <c r="K32" i="46"/>
  <c r="Q17" i="1"/>
  <c r="F16" i="27"/>
  <c r="E63" i="28" s="1"/>
  <c r="L33" i="56"/>
  <c r="H8" i="28"/>
  <c r="M43" i="27"/>
  <c r="H90" i="28" s="1"/>
  <c r="Q18" i="1"/>
  <c r="N23" i="1"/>
  <c r="K14" i="46"/>
  <c r="N24" i="1"/>
  <c r="K8" i="27"/>
  <c r="Q10" i="1" l="1"/>
  <c r="G8" i="28"/>
  <c r="Q9" i="1"/>
  <c r="G7" i="28"/>
  <c r="Q8" i="1"/>
  <c r="G6" i="28"/>
  <c r="Q7" i="1"/>
  <c r="G5" i="28"/>
  <c r="N56" i="28"/>
  <c r="P9" i="27"/>
  <c r="N55" i="28"/>
  <c r="P8" i="27"/>
  <c r="O9" i="56"/>
  <c r="P3" i="1"/>
  <c r="N3" i="56"/>
  <c r="E6" i="51" s="1"/>
  <c r="D23" i="26" s="1"/>
  <c r="M3" i="56"/>
  <c r="D6" i="51" s="1"/>
  <c r="C23" i="26" s="1"/>
  <c r="L3" i="56"/>
  <c r="C6" i="51" s="1"/>
  <c r="P13" i="46"/>
  <c r="N111" i="28"/>
  <c r="G178" i="28"/>
  <c r="G173" i="28"/>
  <c r="Q9" i="56"/>
  <c r="N137" i="28"/>
  <c r="N186" i="28"/>
  <c r="Q27" i="56"/>
  <c r="N155" i="28"/>
  <c r="G54" i="28"/>
  <c r="N7" i="27"/>
  <c r="L4" i="27"/>
  <c r="D4" i="51" s="1"/>
  <c r="C21" i="26" s="1"/>
  <c r="Q25" i="56"/>
  <c r="N153" i="28"/>
  <c r="N172" i="28"/>
  <c r="S11" i="1"/>
  <c r="T11" i="1" s="1"/>
  <c r="N9" i="28"/>
  <c r="S45" i="1"/>
  <c r="T45" i="1" s="1"/>
  <c r="N43" i="28"/>
  <c r="N184" i="28"/>
  <c r="N167" i="28"/>
  <c r="Q26" i="56"/>
  <c r="N154" i="28"/>
  <c r="G83" i="28"/>
  <c r="N36" i="27"/>
  <c r="Q36" i="27" s="1"/>
  <c r="P15" i="46"/>
  <c r="N113" i="28"/>
  <c r="N19" i="46"/>
  <c r="G117" i="28"/>
  <c r="P34" i="46"/>
  <c r="N132" i="28"/>
  <c r="S13" i="1"/>
  <c r="T13" i="1" s="1"/>
  <c r="N11" i="28"/>
  <c r="N39" i="28"/>
  <c r="S41" i="1"/>
  <c r="T41" i="1" s="1"/>
  <c r="N110" i="28"/>
  <c r="P12" i="46"/>
  <c r="G166" i="28"/>
  <c r="N118" i="28"/>
  <c r="P20" i="46"/>
  <c r="N17" i="46"/>
  <c r="G115" i="28"/>
  <c r="N34" i="28"/>
  <c r="S36" i="1"/>
  <c r="T36" i="1" s="1"/>
  <c r="N45" i="28"/>
  <c r="S47" i="1"/>
  <c r="T47" i="1" s="1"/>
  <c r="N47" i="28"/>
  <c r="S49" i="1"/>
  <c r="T49" i="1" s="1"/>
  <c r="G129" i="28"/>
  <c r="N31" i="46"/>
  <c r="G93" i="28"/>
  <c r="N46" i="27"/>
  <c r="Q46" i="27" s="1"/>
  <c r="S42" i="1"/>
  <c r="T42" i="1" s="1"/>
  <c r="N40" i="28"/>
  <c r="G156" i="28"/>
  <c r="O28" i="56"/>
  <c r="G142" i="28"/>
  <c r="O14" i="56"/>
  <c r="O22" i="56"/>
  <c r="G150" i="28"/>
  <c r="O16" i="56"/>
  <c r="G144" i="28"/>
  <c r="G184" i="28"/>
  <c r="P17" i="46"/>
  <c r="N115" i="28"/>
  <c r="P19" i="46"/>
  <c r="N117" i="28"/>
  <c r="N122" i="28"/>
  <c r="P24" i="46"/>
  <c r="N188" i="28"/>
  <c r="S9" i="1"/>
  <c r="T9" i="1" s="1"/>
  <c r="N7" i="28"/>
  <c r="P33" i="46"/>
  <c r="N131" i="28"/>
  <c r="Q15" i="56"/>
  <c r="N143" i="28"/>
  <c r="N10" i="28"/>
  <c r="S12" i="1"/>
  <c r="T12" i="1" s="1"/>
  <c r="N152" i="28"/>
  <c r="Q24" i="56"/>
  <c r="S18" i="1"/>
  <c r="T18" i="1" s="1"/>
  <c r="N16" i="28"/>
  <c r="N7" i="46"/>
  <c r="G105" i="28"/>
  <c r="N151" i="28"/>
  <c r="Q23" i="56"/>
  <c r="N191" i="28"/>
  <c r="S31" i="1"/>
  <c r="T31" i="1" s="1"/>
  <c r="N29" i="28"/>
  <c r="N13" i="27"/>
  <c r="Q13" i="27" s="1"/>
  <c r="G60" i="28"/>
  <c r="G163" i="28"/>
  <c r="N5" i="55"/>
  <c r="L3" i="55"/>
  <c r="D7" i="51" s="1"/>
  <c r="C24" i="26" s="1"/>
  <c r="G119" i="28"/>
  <c r="N21" i="46"/>
  <c r="G183" i="28"/>
  <c r="N43" i="27"/>
  <c r="Q43" i="27" s="1"/>
  <c r="G90" i="28"/>
  <c r="N141" i="28"/>
  <c r="Q13" i="56"/>
  <c r="N123" i="28"/>
  <c r="P25" i="46"/>
  <c r="G91" i="28"/>
  <c r="N44" i="27"/>
  <c r="Q44" i="27" s="1"/>
  <c r="G189" i="28"/>
  <c r="N170" i="28"/>
  <c r="G176" i="28"/>
  <c r="N30" i="27"/>
  <c r="Q30" i="27" s="1"/>
  <c r="G77" i="28"/>
  <c r="G114" i="28"/>
  <c r="N16" i="46"/>
  <c r="N27" i="46"/>
  <c r="G125" i="28"/>
  <c r="N15" i="28"/>
  <c r="S17" i="1"/>
  <c r="T17" i="1" s="1"/>
  <c r="S34" i="1"/>
  <c r="T34" i="1" s="1"/>
  <c r="N32" i="28"/>
  <c r="O12" i="56"/>
  <c r="G140" i="28"/>
  <c r="O23" i="56"/>
  <c r="G151" i="28"/>
  <c r="N21" i="28"/>
  <c r="S23" i="1"/>
  <c r="T23" i="1" s="1"/>
  <c r="Q21" i="56"/>
  <c r="N149" i="28"/>
  <c r="N13" i="46"/>
  <c r="G111" i="28"/>
  <c r="S10" i="1"/>
  <c r="N8" i="28"/>
  <c r="G107" i="28"/>
  <c r="N9" i="46"/>
  <c r="G175" i="28"/>
  <c r="N33" i="27"/>
  <c r="Q33" i="27" s="1"/>
  <c r="G80" i="28"/>
  <c r="N29" i="46"/>
  <c r="G127" i="28"/>
  <c r="N176" i="28"/>
  <c r="N36" i="28"/>
  <c r="S38" i="1"/>
  <c r="T38" i="1" s="1"/>
  <c r="N49" i="28"/>
  <c r="S51" i="1"/>
  <c r="T51" i="1" s="1"/>
  <c r="G185" i="28"/>
  <c r="S37" i="1"/>
  <c r="T37" i="1" s="1"/>
  <c r="N35" i="28"/>
  <c r="K3" i="55"/>
  <c r="C7" i="51" s="1"/>
  <c r="N163" i="28"/>
  <c r="P5" i="55"/>
  <c r="N17" i="28"/>
  <c r="S19" i="1"/>
  <c r="T19" i="1" s="1"/>
  <c r="P29" i="46"/>
  <c r="N127" i="28"/>
  <c r="G99" i="28"/>
  <c r="N52" i="27"/>
  <c r="Q52" i="27" s="1"/>
  <c r="N177" i="28"/>
  <c r="N54" i="28"/>
  <c r="K4" i="27"/>
  <c r="C4" i="51" s="1"/>
  <c r="I4" i="51" s="1"/>
  <c r="S16" i="1"/>
  <c r="T16" i="1" s="1"/>
  <c r="N14" i="28"/>
  <c r="N55" i="27"/>
  <c r="Q55" i="27" s="1"/>
  <c r="G102" i="28"/>
  <c r="Q22" i="56"/>
  <c r="N150" i="28"/>
  <c r="G82" i="28"/>
  <c r="N35" i="27"/>
  <c r="Q35" i="27" s="1"/>
  <c r="N9" i="27"/>
  <c r="G56" i="28"/>
  <c r="G179" i="28"/>
  <c r="N185" i="28"/>
  <c r="P26" i="46"/>
  <c r="N124" i="28"/>
  <c r="N20" i="46"/>
  <c r="G118" i="28"/>
  <c r="N49" i="27"/>
  <c r="Q49" i="27" s="1"/>
  <c r="G96" i="28"/>
  <c r="N40" i="27"/>
  <c r="Q40" i="27" s="1"/>
  <c r="G87" i="28"/>
  <c r="N120" i="28"/>
  <c r="P22" i="46"/>
  <c r="S52" i="1"/>
  <c r="T52" i="1" s="1"/>
  <c r="N50" i="28"/>
  <c r="N41" i="27"/>
  <c r="Q41" i="27" s="1"/>
  <c r="G88" i="28"/>
  <c r="N12" i="46"/>
  <c r="G110" i="28"/>
  <c r="G134" i="28"/>
  <c r="O6" i="56"/>
  <c r="G160" i="28"/>
  <c r="O32" i="56"/>
  <c r="G141" i="28"/>
  <c r="O13" i="56"/>
  <c r="O30" i="56"/>
  <c r="G158" i="28"/>
  <c r="O20" i="56"/>
  <c r="G148" i="28"/>
  <c r="N174" i="28"/>
  <c r="N180" i="28"/>
  <c r="N130" i="28"/>
  <c r="P32" i="46"/>
  <c r="N189" i="28"/>
  <c r="S6" i="1"/>
  <c r="N4" i="28"/>
  <c r="N3" i="1"/>
  <c r="C3" i="51" s="1"/>
  <c r="G55" i="28"/>
  <c r="N8" i="27"/>
  <c r="S33" i="1"/>
  <c r="T33" i="1" s="1"/>
  <c r="N31" i="28"/>
  <c r="N121" i="28"/>
  <c r="P23" i="46"/>
  <c r="P30" i="46"/>
  <c r="N128" i="28"/>
  <c r="N31" i="27"/>
  <c r="Q31" i="27" s="1"/>
  <c r="G78" i="28"/>
  <c r="P8" i="46"/>
  <c r="N106" i="28"/>
  <c r="N166" i="28"/>
  <c r="G58" i="28"/>
  <c r="N11" i="27"/>
  <c r="Q11" i="27" s="1"/>
  <c r="N104" i="28"/>
  <c r="K3" i="46"/>
  <c r="C5" i="51" s="1"/>
  <c r="I5" i="51" s="1"/>
  <c r="P6" i="46"/>
  <c r="N181" i="28"/>
  <c r="Q30" i="56"/>
  <c r="N158" i="28"/>
  <c r="G62" i="28"/>
  <c r="N15" i="27"/>
  <c r="Q15" i="27" s="1"/>
  <c r="G171" i="28"/>
  <c r="N19" i="28"/>
  <c r="S21" i="1"/>
  <c r="T21" i="1" s="1"/>
  <c r="N38" i="27"/>
  <c r="Q38" i="27" s="1"/>
  <c r="G85" i="28"/>
  <c r="G120" i="28"/>
  <c r="N22" i="46"/>
  <c r="N33" i="28"/>
  <c r="S35" i="1"/>
  <c r="T35" i="1" s="1"/>
  <c r="N22" i="27"/>
  <c r="Q22" i="27" s="1"/>
  <c r="G69" i="28"/>
  <c r="S43" i="1"/>
  <c r="T43" i="1" s="1"/>
  <c r="N41" i="28"/>
  <c r="N12" i="28"/>
  <c r="S14" i="1"/>
  <c r="T14" i="1" s="1"/>
  <c r="N173" i="28"/>
  <c r="N6" i="46"/>
  <c r="G104" i="28"/>
  <c r="L3" i="46"/>
  <c r="D5" i="51" s="1"/>
  <c r="C22" i="26" s="1"/>
  <c r="Q31" i="56"/>
  <c r="N159" i="28"/>
  <c r="Q28" i="56"/>
  <c r="N156" i="28"/>
  <c r="N142" i="28"/>
  <c r="Q14" i="56"/>
  <c r="G68" i="28"/>
  <c r="N21" i="27"/>
  <c r="Q21" i="27" s="1"/>
  <c r="G188" i="28"/>
  <c r="G123" i="28"/>
  <c r="N25" i="46"/>
  <c r="N165" i="28"/>
  <c r="G187" i="28"/>
  <c r="M4" i="27"/>
  <c r="E4" i="51" s="1"/>
  <c r="D21" i="26" s="1"/>
  <c r="H54" i="28"/>
  <c r="N14" i="46"/>
  <c r="G112" i="28"/>
  <c r="N10" i="46"/>
  <c r="G108" i="28"/>
  <c r="O31" i="56"/>
  <c r="G159" i="28"/>
  <c r="G152" i="28"/>
  <c r="O24" i="56"/>
  <c r="H133" i="28"/>
  <c r="O18" i="56"/>
  <c r="G146" i="28"/>
  <c r="G138" i="28"/>
  <c r="O10" i="56"/>
  <c r="G170" i="28"/>
  <c r="N133" i="28"/>
  <c r="Q5" i="56"/>
  <c r="N25" i="28"/>
  <c r="S27" i="1"/>
  <c r="T27" i="1" s="1"/>
  <c r="G130" i="28"/>
  <c r="N32" i="46"/>
  <c r="N171" i="28"/>
  <c r="N39" i="27"/>
  <c r="Q39" i="27" s="1"/>
  <c r="G86" i="28"/>
  <c r="G97" i="28"/>
  <c r="N50" i="27"/>
  <c r="Q50" i="27" s="1"/>
  <c r="N19" i="27"/>
  <c r="Q19" i="27" s="1"/>
  <c r="G66" i="28"/>
  <c r="N187" i="28"/>
  <c r="N162" i="28"/>
  <c r="Q34" i="56"/>
  <c r="N13" i="28"/>
  <c r="S15" i="1"/>
  <c r="T15" i="1" s="1"/>
  <c r="G79" i="28"/>
  <c r="N32" i="27"/>
  <c r="Q32" i="27" s="1"/>
  <c r="G169" i="28"/>
  <c r="P16" i="46"/>
  <c r="N114" i="28"/>
  <c r="P7" i="46"/>
  <c r="N105" i="28"/>
  <c r="G109" i="28"/>
  <c r="N11" i="46"/>
  <c r="N23" i="28"/>
  <c r="S25" i="1"/>
  <c r="T25" i="1" s="1"/>
  <c r="N52" i="28"/>
  <c r="S54" i="1"/>
  <c r="T54" i="1" s="1"/>
  <c r="S53" i="1"/>
  <c r="T53" i="1" s="1"/>
  <c r="N51" i="28"/>
  <c r="N14" i="27"/>
  <c r="Q14" i="27" s="1"/>
  <c r="G61" i="28"/>
  <c r="N192" i="28"/>
  <c r="G59" i="28"/>
  <c r="N12" i="27"/>
  <c r="Q12" i="27" s="1"/>
  <c r="G180" i="28"/>
  <c r="N53" i="27"/>
  <c r="Q53" i="27" s="1"/>
  <c r="G100" i="28"/>
  <c r="N33" i="46"/>
  <c r="G131" i="28"/>
  <c r="O8" i="56"/>
  <c r="G136" i="28"/>
  <c r="G133" i="28"/>
  <c r="O5" i="56"/>
  <c r="G168" i="28"/>
  <c r="N28" i="28"/>
  <c r="S30" i="1"/>
  <c r="T30" i="1" s="1"/>
  <c r="N30" i="46"/>
  <c r="G128" i="28"/>
  <c r="G57" i="28"/>
  <c r="N10" i="27"/>
  <c r="Q10" i="27" s="1"/>
  <c r="N168" i="28"/>
  <c r="Q33" i="56"/>
  <c r="N161" i="28"/>
  <c r="Q17" i="56"/>
  <c r="N145" i="28"/>
  <c r="G165" i="28"/>
  <c r="P21" i="46"/>
  <c r="N119" i="28"/>
  <c r="N51" i="27"/>
  <c r="Q51" i="27" s="1"/>
  <c r="G98" i="28"/>
  <c r="Q6" i="56"/>
  <c r="N134" i="28"/>
  <c r="G190" i="28"/>
  <c r="G192" i="28"/>
  <c r="N28" i="46"/>
  <c r="G126" i="28"/>
  <c r="N126" i="28"/>
  <c r="P28" i="46"/>
  <c r="N30" i="28"/>
  <c r="S32" i="1"/>
  <c r="T32" i="1" s="1"/>
  <c r="G63" i="28"/>
  <c r="N16" i="27"/>
  <c r="Q16" i="27" s="1"/>
  <c r="Q16" i="56"/>
  <c r="N144" i="28"/>
  <c r="N178" i="28"/>
  <c r="G95" i="28"/>
  <c r="N48" i="27"/>
  <c r="Q48" i="27" s="1"/>
  <c r="N107" i="28"/>
  <c r="P9" i="46"/>
  <c r="N54" i="27"/>
  <c r="Q54" i="27" s="1"/>
  <c r="G101" i="28"/>
  <c r="G186" i="28"/>
  <c r="N38" i="28"/>
  <c r="S40" i="1"/>
  <c r="T40" i="1" s="1"/>
  <c r="N26" i="46"/>
  <c r="G124" i="28"/>
  <c r="N190" i="28"/>
  <c r="G182" i="28"/>
  <c r="O17" i="56"/>
  <c r="G145" i="28"/>
  <c r="O33" i="56"/>
  <c r="G161" i="28"/>
  <c r="O11" i="56"/>
  <c r="G139" i="28"/>
  <c r="G157" i="28"/>
  <c r="O29" i="56"/>
  <c r="G153" i="28"/>
  <c r="O25" i="56"/>
  <c r="O34" i="56"/>
  <c r="G162" i="28"/>
  <c r="N175" i="28"/>
  <c r="S46" i="1"/>
  <c r="T46" i="1" s="1"/>
  <c r="N44" i="28"/>
  <c r="N25" i="27"/>
  <c r="Q25" i="27" s="1"/>
  <c r="G72" i="28"/>
  <c r="S24" i="1"/>
  <c r="T24" i="1" s="1"/>
  <c r="N22" i="28"/>
  <c r="N24" i="28"/>
  <c r="S26" i="1"/>
  <c r="T26" i="1" s="1"/>
  <c r="Q18" i="56"/>
  <c r="N146" i="28"/>
  <c r="O3" i="1"/>
  <c r="D3" i="51" s="1"/>
  <c r="Q6" i="1"/>
  <c r="G116" i="28"/>
  <c r="N18" i="46"/>
  <c r="N18" i="27"/>
  <c r="Q18" i="27" s="1"/>
  <c r="G65" i="28"/>
  <c r="Q19" i="56"/>
  <c r="N147" i="28"/>
  <c r="N46" i="28"/>
  <c r="S48" i="1"/>
  <c r="T48" i="1" s="1"/>
  <c r="N37" i="27"/>
  <c r="Q37" i="27" s="1"/>
  <c r="G84" i="28"/>
  <c r="G167" i="28"/>
  <c r="G113" i="28"/>
  <c r="N15" i="46"/>
  <c r="G174" i="28"/>
  <c r="S8" i="1"/>
  <c r="N6" i="28"/>
  <c r="G64" i="28"/>
  <c r="N17" i="27"/>
  <c r="Q17" i="27" s="1"/>
  <c r="G181" i="28"/>
  <c r="N183" i="28"/>
  <c r="G121" i="28"/>
  <c r="N23" i="46"/>
  <c r="N37" i="28"/>
  <c r="S39" i="1"/>
  <c r="T39" i="1" s="1"/>
  <c r="G74" i="28"/>
  <c r="N27" i="27"/>
  <c r="Q27" i="27" s="1"/>
  <c r="S29" i="1"/>
  <c r="T29" i="1" s="1"/>
  <c r="N27" i="28"/>
  <c r="Q29" i="56"/>
  <c r="N157" i="28"/>
  <c r="N169" i="28"/>
  <c r="G75" i="28"/>
  <c r="N28" i="27"/>
  <c r="Q28" i="27" s="1"/>
  <c r="S44" i="1"/>
  <c r="T44" i="1" s="1"/>
  <c r="N42" i="28"/>
  <c r="G172" i="28"/>
  <c r="G94" i="28"/>
  <c r="N47" i="27"/>
  <c r="Q47" i="27" s="1"/>
  <c r="G164" i="28"/>
  <c r="N5" i="28"/>
  <c r="S7" i="1"/>
  <c r="O19" i="56"/>
  <c r="G147" i="28"/>
  <c r="G143" i="28"/>
  <c r="O15" i="56"/>
  <c r="G135" i="28"/>
  <c r="O7" i="56"/>
  <c r="N42" i="27"/>
  <c r="Q42" i="27" s="1"/>
  <c r="G89" i="28"/>
  <c r="N112" i="28"/>
  <c r="P14" i="46"/>
  <c r="Q12" i="56"/>
  <c r="N140" i="28"/>
  <c r="N23" i="27"/>
  <c r="Q23" i="27" s="1"/>
  <c r="G70" i="28"/>
  <c r="Q10" i="56"/>
  <c r="N138" i="28"/>
  <c r="Q20" i="56"/>
  <c r="N148" i="28"/>
  <c r="P11" i="46"/>
  <c r="N109" i="28"/>
  <c r="S20" i="1"/>
  <c r="T20" i="1" s="1"/>
  <c r="N18" i="28"/>
  <c r="N24" i="46"/>
  <c r="G122" i="28"/>
  <c r="G76" i="28"/>
  <c r="N29" i="27"/>
  <c r="Q29" i="27" s="1"/>
  <c r="N136" i="28"/>
  <c r="Q8" i="56"/>
  <c r="N179" i="28"/>
  <c r="S28" i="1"/>
  <c r="T28" i="1" s="1"/>
  <c r="N26" i="28"/>
  <c r="N48" i="28"/>
  <c r="S50" i="1"/>
  <c r="T50" i="1" s="1"/>
  <c r="N20" i="27"/>
  <c r="Q20" i="27" s="1"/>
  <c r="G67" i="28"/>
  <c r="N20" i="28"/>
  <c r="S22" i="1"/>
  <c r="T22" i="1" s="1"/>
  <c r="N26" i="27"/>
  <c r="Q26" i="27" s="1"/>
  <c r="G73" i="28"/>
  <c r="G191" i="28"/>
  <c r="H163" i="28"/>
  <c r="M3" i="55"/>
  <c r="E7" i="51" s="1"/>
  <c r="D24" i="26" s="1"/>
  <c r="P18" i="46"/>
  <c r="N116" i="28"/>
  <c r="N108" i="28"/>
  <c r="P10" i="46"/>
  <c r="N45" i="27"/>
  <c r="Q45" i="27" s="1"/>
  <c r="G92" i="28"/>
  <c r="G71" i="28"/>
  <c r="N24" i="27"/>
  <c r="Q24" i="27" s="1"/>
  <c r="G81" i="28"/>
  <c r="N34" i="27"/>
  <c r="Q34" i="27" s="1"/>
  <c r="P27" i="46"/>
  <c r="N125" i="28"/>
  <c r="P31" i="46"/>
  <c r="N129" i="28"/>
  <c r="M3" i="46"/>
  <c r="E5" i="51" s="1"/>
  <c r="D22" i="26" s="1"/>
  <c r="H104" i="28"/>
  <c r="N164" i="28"/>
  <c r="G177" i="28"/>
  <c r="G132" i="28"/>
  <c r="N34" i="46"/>
  <c r="Q7" i="56"/>
  <c r="N135" i="28"/>
  <c r="N8" i="46"/>
  <c r="G106" i="28"/>
  <c r="N182" i="28"/>
  <c r="G149" i="28"/>
  <c r="O21" i="56"/>
  <c r="O27" i="56"/>
  <c r="G155" i="28"/>
  <c r="G154" i="28"/>
  <c r="O26" i="56"/>
  <c r="N160" i="28"/>
  <c r="Q32" i="56"/>
  <c r="N139" i="28"/>
  <c r="Q11" i="56"/>
  <c r="T8" i="1" l="1"/>
  <c r="T10" i="1"/>
  <c r="T7" i="1"/>
  <c r="Q9" i="27"/>
  <c r="R32" i="56"/>
  <c r="Q8" i="27"/>
  <c r="R22" i="56"/>
  <c r="R9" i="56"/>
  <c r="R16" i="56"/>
  <c r="E3" i="51"/>
  <c r="D20" i="26" s="1"/>
  <c r="D26" i="26" s="1"/>
  <c r="Q3" i="1"/>
  <c r="F3" i="51" s="1"/>
  <c r="C30" i="26" s="1"/>
  <c r="Q3" i="56"/>
  <c r="O3" i="56"/>
  <c r="F6" i="51" s="1"/>
  <c r="C33" i="26" s="1"/>
  <c r="R6" i="56"/>
  <c r="R11" i="56"/>
  <c r="Q21" i="46"/>
  <c r="Q10" i="46"/>
  <c r="Q19" i="46"/>
  <c r="R29" i="56"/>
  <c r="Q7" i="46"/>
  <c r="R30" i="56"/>
  <c r="Q11" i="46"/>
  <c r="R12" i="56"/>
  <c r="Q16" i="46"/>
  <c r="Q31" i="46"/>
  <c r="Q14" i="46"/>
  <c r="Q9" i="46"/>
  <c r="R14" i="56"/>
  <c r="R10" i="56"/>
  <c r="Q28" i="46"/>
  <c r="R8" i="56"/>
  <c r="Q27" i="46"/>
  <c r="R20" i="56"/>
  <c r="Q18" i="46"/>
  <c r="R19" i="56"/>
  <c r="R18" i="56"/>
  <c r="Q30" i="46"/>
  <c r="Q29" i="46"/>
  <c r="Q33" i="46"/>
  <c r="R13" i="56"/>
  <c r="C20" i="26"/>
  <c r="C26" i="26" s="1"/>
  <c r="D9" i="51"/>
  <c r="R34" i="56"/>
  <c r="Q5" i="55"/>
  <c r="P3" i="55"/>
  <c r="R7" i="56"/>
  <c r="R33" i="56"/>
  <c r="R31" i="56"/>
  <c r="I3" i="51"/>
  <c r="C9" i="51"/>
  <c r="N3" i="55"/>
  <c r="F7" i="51" s="1"/>
  <c r="C34" i="26" s="1"/>
  <c r="R23" i="56"/>
  <c r="Q17" i="46"/>
  <c r="Q12" i="46"/>
  <c r="Q34" i="46"/>
  <c r="R26" i="56"/>
  <c r="N4" i="27"/>
  <c r="Q7" i="27"/>
  <c r="I6" i="51"/>
  <c r="R5" i="56"/>
  <c r="Q23" i="46"/>
  <c r="T6" i="1"/>
  <c r="S3" i="1"/>
  <c r="T3" i="1" s="1"/>
  <c r="I7" i="51"/>
  <c r="Q20" i="46"/>
  <c r="N3" i="46"/>
  <c r="F5" i="51" s="1"/>
  <c r="C32" i="26" s="1"/>
  <c r="R21" i="56"/>
  <c r="Q25" i="46"/>
  <c r="R15" i="56"/>
  <c r="Q24" i="46"/>
  <c r="R27" i="56"/>
  <c r="Q22" i="46"/>
  <c r="Q15" i="46"/>
  <c r="P3" i="46"/>
  <c r="Q6" i="46"/>
  <c r="Q8" i="46"/>
  <c r="Q32" i="46"/>
  <c r="Q26" i="46"/>
  <c r="P4" i="27"/>
  <c r="H4" i="51" s="1"/>
  <c r="R17" i="56"/>
  <c r="R28" i="56"/>
  <c r="R24" i="56"/>
  <c r="R25" i="56"/>
  <c r="Q13" i="46"/>
  <c r="F11" i="26" l="1"/>
  <c r="F13" i="52" s="1"/>
  <c r="B3" i="33"/>
  <c r="B24" i="33"/>
  <c r="H7" i="51"/>
  <c r="Q3" i="55"/>
  <c r="I135" i="28"/>
  <c r="I9" i="51"/>
  <c r="H5" i="51"/>
  <c r="Q3" i="46"/>
  <c r="H6" i="51"/>
  <c r="R3" i="56"/>
  <c r="J3" i="51"/>
  <c r="E30" i="26" s="1"/>
  <c r="F30" i="26" s="1"/>
  <c r="E9" i="51"/>
  <c r="F4" i="51"/>
  <c r="C31" i="26" s="1"/>
  <c r="C37" i="26" s="1"/>
  <c r="I165" i="28"/>
  <c r="I54" i="28"/>
  <c r="I130" i="28"/>
  <c r="I145" i="28"/>
  <c r="I156" i="28"/>
  <c r="I27" i="28"/>
  <c r="I21" i="28"/>
  <c r="I182" i="28"/>
  <c r="I112" i="28"/>
  <c r="I140" i="28"/>
  <c r="I185" i="28"/>
  <c r="I116" i="28"/>
  <c r="I29" i="28"/>
  <c r="I39" i="28"/>
  <c r="I122" i="28"/>
  <c r="I181" i="28"/>
  <c r="I32" i="28"/>
  <c r="I188" i="28"/>
  <c r="I148" i="28"/>
  <c r="I123" i="28"/>
  <c r="I133" i="28"/>
  <c r="I167" i="28"/>
  <c r="I143" i="28"/>
  <c r="I120" i="28"/>
  <c r="I186" i="28"/>
  <c r="I176" i="28"/>
  <c r="I22" i="28"/>
  <c r="I113" i="28"/>
  <c r="I127" i="28"/>
  <c r="I171" i="28"/>
  <c r="I110" i="28"/>
  <c r="I172" i="28"/>
  <c r="I141" i="28"/>
  <c r="I40" i="28"/>
  <c r="I28" i="28"/>
  <c r="I191" i="28"/>
  <c r="I153" i="28"/>
  <c r="I124" i="28"/>
  <c r="I136" i="28"/>
  <c r="I47" i="28"/>
  <c r="I14" i="28"/>
  <c r="I134" i="28"/>
  <c r="J7" i="51"/>
  <c r="E34" i="26" s="1"/>
  <c r="F34" i="26" s="1"/>
  <c r="G34" i="26" s="1"/>
  <c r="I184" i="28"/>
  <c r="I125" i="28"/>
  <c r="I121" i="28"/>
  <c r="I187" i="28"/>
  <c r="I17" i="28"/>
  <c r="I117" i="28"/>
  <c r="I106" i="28"/>
  <c r="I179" i="28"/>
  <c r="I6" i="28"/>
  <c r="I178" i="28"/>
  <c r="I142" i="28"/>
  <c r="I19" i="28"/>
  <c r="Q4" i="27"/>
  <c r="I158" i="28"/>
  <c r="I15" i="28"/>
  <c r="I13" i="28"/>
  <c r="I164" i="28"/>
  <c r="I11" i="28"/>
  <c r="I183" i="28"/>
  <c r="I131" i="28"/>
  <c r="I189" i="28"/>
  <c r="I126" i="28"/>
  <c r="I175" i="28"/>
  <c r="I149" i="28"/>
  <c r="J6" i="51"/>
  <c r="E33" i="26" s="1"/>
  <c r="F33" i="26" s="1"/>
  <c r="G33" i="26" s="1"/>
  <c r="I49" i="28"/>
  <c r="I44" i="28"/>
  <c r="I137" i="28"/>
  <c r="I8" i="28"/>
  <c r="I114" i="28"/>
  <c r="I192" i="28"/>
  <c r="I45" i="28"/>
  <c r="I48" i="28"/>
  <c r="I16" i="28"/>
  <c r="I31" i="28"/>
  <c r="I144" i="28"/>
  <c r="I24" i="28"/>
  <c r="I7" i="28"/>
  <c r="I150" i="28"/>
  <c r="I111" i="28"/>
  <c r="I33" i="28"/>
  <c r="I170" i="28"/>
  <c r="I173" i="28"/>
  <c r="I108" i="28"/>
  <c r="I118" i="28"/>
  <c r="I35" i="28"/>
  <c r="I109" i="28"/>
  <c r="I105" i="28"/>
  <c r="I151" i="28"/>
  <c r="I129" i="28"/>
  <c r="I119" i="28"/>
  <c r="I159" i="28"/>
  <c r="H3" i="51"/>
  <c r="I10" i="28"/>
  <c r="I128" i="28"/>
  <c r="I38" i="28"/>
  <c r="I139" i="28"/>
  <c r="I46" i="28"/>
  <c r="I43" i="28"/>
  <c r="I37" i="28"/>
  <c r="I51" i="28"/>
  <c r="I174" i="28"/>
  <c r="I163" i="28"/>
  <c r="I41" i="28"/>
  <c r="I146" i="28"/>
  <c r="I154" i="28"/>
  <c r="I138" i="28"/>
  <c r="I36" i="28"/>
  <c r="I166" i="28"/>
  <c r="I168" i="28"/>
  <c r="I20" i="28"/>
  <c r="I4" i="28"/>
  <c r="I147" i="28"/>
  <c r="I132" i="28"/>
  <c r="I177" i="28"/>
  <c r="I23" i="28"/>
  <c r="I26" i="28"/>
  <c r="I30" i="28"/>
  <c r="I160" i="28"/>
  <c r="I25" i="28"/>
  <c r="I157" i="28"/>
  <c r="I34" i="28"/>
  <c r="I180" i="28"/>
  <c r="I161" i="28"/>
  <c r="J4" i="51"/>
  <c r="E31" i="26" s="1"/>
  <c r="F31" i="26" s="1"/>
  <c r="J5" i="51"/>
  <c r="E32" i="26" s="1"/>
  <c r="F32" i="26" s="1"/>
  <c r="G32" i="26" s="1"/>
  <c r="I204" i="28"/>
  <c r="I103" i="28"/>
  <c r="I203" i="28"/>
  <c r="I210" i="28"/>
  <c r="I211" i="28"/>
  <c r="I200" i="28"/>
  <c r="I212" i="28"/>
  <c r="I202" i="28"/>
  <c r="I3" i="28"/>
  <c r="I201" i="28"/>
  <c r="I205" i="28"/>
  <c r="I208" i="28"/>
  <c r="I195" i="28"/>
  <c r="I193" i="28"/>
  <c r="J8" i="51"/>
  <c r="E35" i="26" s="1"/>
  <c r="I194" i="28"/>
  <c r="I53" i="28"/>
  <c r="I197" i="28"/>
  <c r="I209" i="28"/>
  <c r="I198" i="28"/>
  <c r="I196" i="28"/>
  <c r="I199" i="28"/>
  <c r="I207" i="28"/>
  <c r="I206" i="28"/>
  <c r="I96" i="28"/>
  <c r="I63" i="28"/>
  <c r="I77" i="28"/>
  <c r="I64" i="28"/>
  <c r="I73" i="28"/>
  <c r="I59" i="28"/>
  <c r="I61" i="28"/>
  <c r="I87" i="28"/>
  <c r="I99" i="28"/>
  <c r="I82" i="28"/>
  <c r="I93" i="28"/>
  <c r="I70" i="28"/>
  <c r="I101" i="28"/>
  <c r="I84" i="28"/>
  <c r="I75" i="28"/>
  <c r="I57" i="28"/>
  <c r="I85" i="28"/>
  <c r="I97" i="28"/>
  <c r="I95" i="28"/>
  <c r="I69" i="28"/>
  <c r="I91" i="28"/>
  <c r="I67" i="28"/>
  <c r="I79" i="28"/>
  <c r="I102" i="28"/>
  <c r="I58" i="28"/>
  <c r="I100" i="28"/>
  <c r="I66" i="28"/>
  <c r="I76" i="28"/>
  <c r="I88" i="28"/>
  <c r="I71" i="28"/>
  <c r="I74" i="28"/>
  <c r="I72" i="28"/>
  <c r="I83" i="28"/>
  <c r="I56" i="28"/>
  <c r="I81" i="28"/>
  <c r="I68" i="28"/>
  <c r="I94" i="28"/>
  <c r="I78" i="28"/>
  <c r="I62" i="28"/>
  <c r="I98" i="28"/>
  <c r="I90" i="28"/>
  <c r="I80" i="28"/>
  <c r="I92" i="28"/>
  <c r="I60" i="28"/>
  <c r="I86" i="28"/>
  <c r="I89" i="28"/>
  <c r="I65" i="28"/>
  <c r="I55" i="28"/>
  <c r="I162" i="28"/>
  <c r="I42" i="28"/>
  <c r="I115" i="28"/>
  <c r="I104" i="28"/>
  <c r="I107" i="28"/>
  <c r="I52" i="28"/>
  <c r="I155" i="28"/>
  <c r="I50" i="28"/>
  <c r="I190" i="28"/>
  <c r="I9" i="28"/>
  <c r="I18" i="28"/>
  <c r="I5" i="28"/>
  <c r="I152" i="28"/>
  <c r="I12" i="28"/>
  <c r="I169" i="28"/>
  <c r="B18" i="33" l="1"/>
  <c r="F35" i="26"/>
  <c r="G35" i="26" s="1"/>
  <c r="C18" i="33"/>
  <c r="C20" i="33" s="1"/>
  <c r="H9" i="51"/>
  <c r="F9" i="51"/>
  <c r="G31" i="26"/>
  <c r="J9" i="51"/>
  <c r="B21" i="33" l="1"/>
  <c r="B20" i="33"/>
  <c r="D18" i="33"/>
  <c r="C21" i="33"/>
  <c r="D21" i="33" l="1"/>
  <c r="D20" i="33"/>
  <c r="G30" i="26"/>
  <c r="E37" i="26" l="1"/>
  <c r="F37" i="26"/>
  <c r="G37" i="26" l="1"/>
  <c r="E11" i="26"/>
  <c r="E13" i="52" s="1"/>
  <c r="D11" i="26"/>
  <c r="D13" i="52" s="1"/>
  <c r="B25"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Sheaffer, Andrew</author>
    <author>Kurtz, Spencer</author>
  </authors>
  <commentList>
    <comment ref="B13" authorId="0" shapeId="0" xr:uid="{51CC2BC9-DE43-46DD-A295-3C14B4685552}">
      <text>
        <r>
          <rPr>
            <sz val="9"/>
            <color indexed="81"/>
            <rFont val="Tahoma"/>
            <family val="2"/>
          </rPr>
          <t>Publically funded organizations include organizations that are primarily funded by Federal, state or municipal sources.  Examples include: Federal, state or municipal organizations/facilities, public schools and universities, museums, public hospitals/clinics, etc.</t>
        </r>
      </text>
    </comment>
    <comment ref="E27" authorId="1" shapeId="0" xr:uid="{00000000-0006-0000-0000-000001000000}">
      <text>
        <r>
          <rPr>
            <sz val="9"/>
            <color indexed="81"/>
            <rFont val="Tahoma"/>
            <family val="2"/>
          </rPr>
          <t xml:space="preserve"> Input the 'blended' rate of electricity for the given account number, i.e. the total electric utility costs for at least the previous 12 months divided by the total kWh consumption during the same time period.  This data is not used to calculate incentives, but allows this application to provide an estimate of the reduction in the customers energy bills resulting from the implementation of measures contained in the application.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Kurtz, Spencer</author>
    <author>tc={8EF07D4B-37BF-4245-9CA3-94EB6DE9529C}</author>
    <author>tc={62C74FEC-860C-4FD5-BBC1-61E30FA1D7C5}</author>
    <author>tc={13CE2E3C-D381-46CB-B794-332D929AC969}</author>
  </authors>
  <commentList>
    <comment ref="K4" authorId="0" shapeId="0" xr:uid="{925763B6-7284-4CED-854D-63B36C45F65C}">
      <text>
        <r>
          <rPr>
            <b/>
            <sz val="9"/>
            <color indexed="81"/>
            <rFont val="Tahoma"/>
            <family val="2"/>
          </rPr>
          <t>EFLH cooling for A/C unit</t>
        </r>
      </text>
    </comment>
    <comment ref="L4" authorId="0" shapeId="0" xr:uid="{94F4E5D8-13D7-47FD-B5D8-48FBB3F310B3}">
      <text>
        <r>
          <rPr>
            <b/>
            <sz val="9"/>
            <color indexed="81"/>
            <rFont val="Tahoma"/>
            <family val="2"/>
          </rPr>
          <t>CF for A/C unit</t>
        </r>
      </text>
    </comment>
    <comment ref="K5" authorId="0" shapeId="0" xr:uid="{59CF48A0-AF6F-4720-BC5A-8E1BBC3B73CA}">
      <text>
        <r>
          <rPr>
            <b/>
            <sz val="9"/>
            <color indexed="81"/>
            <rFont val="Tahoma"/>
            <family val="2"/>
          </rPr>
          <t>EFLH cooling for heat pump unit</t>
        </r>
        <r>
          <rPr>
            <sz val="9"/>
            <color indexed="81"/>
            <rFont val="Tahoma"/>
            <family val="2"/>
          </rPr>
          <t xml:space="preserve">
</t>
        </r>
      </text>
    </comment>
    <comment ref="L5" authorId="0" shapeId="0" xr:uid="{24774E4D-5FB6-4782-A42B-727D55EE65D2}">
      <text>
        <r>
          <rPr>
            <sz val="9"/>
            <color indexed="81"/>
            <rFont val="Tahoma"/>
            <family val="2"/>
          </rPr>
          <t xml:space="preserve">CF for heat pump unit
</t>
        </r>
      </text>
    </comment>
    <comment ref="N5" authorId="0" shapeId="0" xr:uid="{B76BD9C3-CD71-489D-AC78-609CA04FFAC6}">
      <text>
        <r>
          <rPr>
            <sz val="9"/>
            <color indexed="81"/>
            <rFont val="Tahoma"/>
            <family val="2"/>
          </rPr>
          <t xml:space="preserve">EFLH heating for heat pumps
</t>
        </r>
      </text>
    </comment>
    <comment ref="M116" authorId="1" shapeId="0" xr:uid="{8EF07D4B-37BF-4245-9CA3-94EB6DE9529C}">
      <text>
        <t>[Threaded comment]
Your version of Excel allows you to read this threaded comment; however, any edits to it will get removed if the file is opened in a newer version of Excel. Learn more: https://go.microsoft.com/fwlink/?linkid=870924
Comment:
    SEER2</t>
      </text>
    </comment>
    <comment ref="M121" authorId="2" shapeId="0" xr:uid="{62C74FEC-860C-4FD5-BBC1-61E30FA1D7C5}">
      <text>
        <t>[Threaded comment]
Your version of Excel allows you to read this threaded comment; however, any edits to it will get removed if the file is opened in a newer version of Excel. Learn more: https://go.microsoft.com/fwlink/?linkid=870924
Comment:
    SEER2</t>
      </text>
    </comment>
    <comment ref="N121" authorId="3" shapeId="0" xr:uid="{13CE2E3C-D381-46CB-B794-332D929AC969}">
      <text>
        <t>[Threaded comment]
Your version of Excel allows you to read this threaded comment; however, any edits to it will get removed if the file is opened in a newer version of Excel. Learn more: https://go.microsoft.com/fwlink/?linkid=870924
Comment:
    HSPF2</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Kurtz, Spencer</author>
  </authors>
  <commentList>
    <comment ref="D4" authorId="0" shapeId="0" xr:uid="{27789A80-6960-4C01-B6BE-5C3384D3D9AE}">
      <text>
        <r>
          <rPr>
            <sz val="9"/>
            <color indexed="81"/>
            <rFont val="Tahoma"/>
            <family val="2"/>
          </rPr>
          <t>Add any additional or relevant notes or information for the project here that isn't captured in the previous "customer inputs" for each line item.</t>
        </r>
      </text>
    </comment>
    <comment ref="E4" authorId="0" shapeId="0" xr:uid="{8065A11A-040A-4D3C-88BD-557317A3A6AA}">
      <text>
        <r>
          <rPr>
            <b/>
            <sz val="8"/>
            <color indexed="81"/>
            <rFont val="Tahoma"/>
            <family val="2"/>
          </rPr>
          <t xml:space="preserve">HVAC Measures - Minimum Efficiency Requirements
High Eff. AC Unit 
</t>
        </r>
        <r>
          <rPr>
            <sz val="8"/>
            <color indexed="81"/>
            <rFont val="Tahoma"/>
            <family val="2"/>
          </rPr>
          <t>*AC Unit (&lt; 5.4 tons):  min 12.3 EER, 14.5 SEER2;   
*AC Unit (5.4 to 11.2 tons):  min. 12.2 EER, 14.8 SEER;   
*AC Unit (11.3 to 20 tons):  min. 12.2 EER, 14.8 SEER;   
*AC Unit (20.1 to 63.3 tons):  min. 10.8 EER, 13.5 SEER;   
*AC Unit (&gt; 63.3 tons):  min. 10.4 EER, 13.0 SEER;   
*Must be AHRI Certified</t>
        </r>
        <r>
          <rPr>
            <b/>
            <sz val="8"/>
            <color indexed="81"/>
            <rFont val="Tahoma"/>
            <family val="2"/>
          </rPr>
          <t xml:space="preserve">
High Eff. Heat Pump Unit 
</t>
        </r>
        <r>
          <rPr>
            <sz val="8"/>
            <color indexed="81"/>
            <rFont val="Tahoma"/>
            <family val="2"/>
          </rPr>
          <t>*HP Unit (&lt; 5.4 tons):  min. 12.3 EER, 14.5 SEER2, 8.0 HSPF2;   
*HP Unit (5.4 to 11.2 tons):  min. 11.3 EER, 14.5 SEER, 12.0 HSPF;   
*HP Unit (11.3 to 20 tons):  min. 10.9 EER, 14.0 SEER, 12.0 HSPF;   
*HP Unit (&gt;20.1 tons):  min. 10.3 EER, 13.0 SEER, 12.0 HSPF;   
*Must be AHRI Certified</t>
        </r>
        <r>
          <rPr>
            <b/>
            <sz val="8"/>
            <color indexed="81"/>
            <rFont val="Tahoma"/>
            <family val="2"/>
          </rPr>
          <t xml:space="preserve"> 
High Eff. Packaged Terminal AC (PTAC) Unit 
</t>
        </r>
        <r>
          <rPr>
            <sz val="8"/>
            <color indexed="81"/>
            <rFont val="Tahoma"/>
            <family val="2"/>
          </rPr>
          <t>*Standard PTAC (&lt; 0.6 tons):  min. 13 EER;   
*Standard PTAC (0.6 to 1.25 tons):  min. 12 EER;   
*Standard PTAC (≥ 1.25 tons):  min. 11 EER;   
*Non-Standard PTAC (&lt; 0.6 tons):  min. 11 EER;   
*Non-Standard PTAC (0.6 to 1.25 tons):  min. 9 EER;   
*Non-Standard PTAC (≥ 1.25 tons):  min. 9 EER;   
*Standard refers to PTAC dimensions of  (42″ wide, 16″ high, and 13 3/4″ deep), all other dimensions are non-standard. 
*Must be AHRI Certified</t>
        </r>
        <r>
          <rPr>
            <b/>
            <sz val="9"/>
            <color indexed="81"/>
            <rFont val="Tahoma"/>
            <family val="2"/>
          </rPr>
          <t xml:space="preserve">
</t>
        </r>
        <r>
          <rPr>
            <b/>
            <sz val="8"/>
            <color indexed="81"/>
            <rFont val="Tahoma"/>
            <family val="2"/>
          </rPr>
          <t xml:space="preserve">High Eff. Packaged Terminal HP (PTHP) Unit 
</t>
        </r>
        <r>
          <rPr>
            <sz val="8"/>
            <color indexed="81"/>
            <rFont val="Tahoma"/>
            <family val="2"/>
          </rPr>
          <t>*Standard PTHP (&lt; 0.6 tons): 13 EER, 3.5 COP;   
*Standard PTHP (0.6 to 1.25 tons): 12 EER, 3.4 COP;   
*Standard PTHP (≥ 1.25 tons): 11 EER, 3.3 COP;   
*Non-Standard PTHP (&lt; 0.6 tons): 10 EER, 3.2 COP;   
*Non-Standard PTHP (0.6 to 1.25 tons): 9 EER, 3.1 COP;   
*Non-Standard PTHP (≥ 1.25 tons): 8 EER, 3 COP;   
*Standard refers to PTAC dimensions of  (42″ wide, 16″ high, and 13 3, 4″ deep), all other dimensions are non-standard.
*Must be AHRI Certified</t>
        </r>
        <r>
          <rPr>
            <b/>
            <sz val="8"/>
            <color indexed="81"/>
            <rFont val="Tahoma"/>
            <family val="2"/>
          </rPr>
          <t xml:space="preserve">
High Eff. Air-Cooled Chiller 
</t>
        </r>
        <r>
          <rPr>
            <sz val="8"/>
            <color indexed="81"/>
            <rFont val="Tahoma"/>
            <family val="2"/>
          </rPr>
          <t xml:space="preserve">*Air-Cooled Chiller (&lt;150 tons):  min 10.2 full-load EER, 15.8 IPLV EER;   
*Air-Cooled Chiller (&gt; 150 tons):  min 10.2 full-load EER, 16.0 IPLV EER;   </t>
        </r>
        <r>
          <rPr>
            <b/>
            <sz val="8"/>
            <color indexed="81"/>
            <rFont val="Tahoma"/>
            <family val="2"/>
          </rPr>
          <t xml:space="preserve">
High Eff. Positive Displacement Water-Cooled Chiller 
</t>
        </r>
        <r>
          <rPr>
            <sz val="8"/>
            <color indexed="81"/>
            <rFont val="Tahoma"/>
            <family val="2"/>
          </rPr>
          <t xml:space="preserve">*Water-Cooled PD Chiller (&lt; 75 tons):  min full-load kW/ton 0.74, IPLV kW/ton 0.5;   
*Water-Cooled PD Chiller (75 to 150 tons):  min full-load kW/ton 0.71, IPLV kW/ton 0.49;   
*Water-Cooled PD Chiller (150 to 300 tons):  min full-load kW/ton 0.65, IPLV kW/ton 0.44;   
*Water-Cooled PD Chiller (&gt; 300 tons):  min full-load kW/ton 0.57, IPLV kW/ton 0.41;  </t>
        </r>
        <r>
          <rPr>
            <b/>
            <sz val="8"/>
            <color indexed="81"/>
            <rFont val="Tahoma"/>
            <family val="2"/>
          </rPr>
          <t xml:space="preserve">    
High Eff. Centrifugal Water-Cooled Chiller 
</t>
        </r>
        <r>
          <rPr>
            <sz val="8"/>
            <color indexed="81"/>
            <rFont val="Tahoma"/>
            <family val="2"/>
          </rPr>
          <t xml:space="preserve">*Water-Cooled Cent. Chiller (&lt;300 tons):  min full-load kW/ton 0.6, IPLV kW/ton 0.4;   
*Water-Cooled Cent. Chiller (300 to 600 tons):  min full-load kW/ton 0.55, IPLV kW/ton 0.38;   
*Water-Cooled Cent. Chiller (&gt;600 tons):  min full-load kW/ton 0.55, IPLV kW/ton 0.38; </t>
        </r>
      </text>
    </comment>
    <comment ref="H4" authorId="0" shapeId="0" xr:uid="{39C1FB96-5FC8-454E-959B-80C186A61424}">
      <text>
        <r>
          <rPr>
            <b/>
            <sz val="9"/>
            <color indexed="81"/>
            <rFont val="Tahoma"/>
            <family val="2"/>
          </rPr>
          <t>This input is only for the high efficiency A/C and heat pump unit measures</t>
        </r>
        <r>
          <rPr>
            <sz val="9"/>
            <color indexed="81"/>
            <rFont val="Tahoma"/>
            <family val="2"/>
          </rPr>
          <t xml:space="preserve">
</t>
        </r>
      </text>
    </comment>
    <comment ref="I4" authorId="0" shapeId="0" xr:uid="{8943A4EA-7000-40E6-B786-6FB024C6C39F}">
      <text>
        <r>
          <rPr>
            <b/>
            <sz val="9"/>
            <color indexed="81"/>
            <rFont val="Tahoma"/>
            <family val="2"/>
          </rPr>
          <t>This input is only for the high efficiency A/C and heat pump unit measures</t>
        </r>
        <r>
          <rPr>
            <sz val="9"/>
            <color indexed="81"/>
            <rFont val="Tahoma"/>
            <family val="2"/>
          </rPr>
          <t xml:space="preserve">
</t>
        </r>
      </text>
    </comment>
    <comment ref="J4" authorId="0" shapeId="0" xr:uid="{C3B60BF0-BFB5-4F6E-BD0E-621E053B5203}">
      <text>
        <r>
          <rPr>
            <b/>
            <sz val="9"/>
            <color indexed="81"/>
            <rFont val="Tahoma"/>
            <family val="2"/>
          </rPr>
          <t xml:space="preserve">This input is only for the high efficiency heat pump unit measure </t>
        </r>
        <r>
          <rPr>
            <sz val="9"/>
            <color indexed="81"/>
            <rFont val="Tahoma"/>
            <family val="2"/>
          </rPr>
          <t xml:space="preserve">
</t>
        </r>
      </text>
    </comment>
    <comment ref="N4" authorId="0" shapeId="0" xr:uid="{00000000-0006-0000-0200-000006000000}">
      <text>
        <r>
          <rPr>
            <sz val="9"/>
            <color indexed="81"/>
            <rFont val="Tahoma"/>
            <family val="2"/>
          </rPr>
          <t>The estimated incentive shown below does not incorporate project level incentive caps, which may reduce the total incentive paid to a project.</t>
        </r>
      </text>
    </comment>
    <comment ref="S4" authorId="0" shapeId="0" xr:uid="{38C9D8EC-C80F-48C5-8A92-68D7248A52A8}">
      <text>
        <r>
          <rPr>
            <sz val="9"/>
            <color indexed="81"/>
            <rFont val="Tahoma"/>
            <family val="2"/>
          </rPr>
          <t xml:space="preserve">The sum of net measure costs shown on this tab and other tabs may not equal the total net project cost shown on the Summary page due to the influence of project caps, which are not incorporated here, but are incorporated into the net project cost shown on the Summary page.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Kurtz, Spencer</author>
    <author>Sheaffer, Andrew</author>
  </authors>
  <commentList>
    <comment ref="D5" authorId="0" shapeId="0" xr:uid="{8A42AD46-EFD6-4EAE-BB2F-FAFF90DEC139}">
      <text>
        <r>
          <rPr>
            <sz val="9"/>
            <color indexed="81"/>
            <rFont val="Tahoma"/>
            <family val="2"/>
          </rPr>
          <t>Add any additional or relevant notes or information for the project here that isn't captured in the previous "customer inputs" for each line item.</t>
        </r>
      </text>
    </comment>
    <comment ref="E5" authorId="1" shapeId="0" xr:uid="{15A9014C-490B-4575-B1B8-B6145EE82ED8}">
      <text>
        <r>
          <rPr>
            <sz val="9"/>
            <color indexed="81"/>
            <rFont val="Tahoma"/>
            <family val="2"/>
          </rPr>
          <t xml:space="preserve">Building/Space Type - Choose the most appropriate space type. If you don't see a space type that applies to your project location, please contact the Energy Smart program and we can assist you in choosing the best option. </t>
        </r>
      </text>
    </comment>
    <comment ref="K5" authorId="0" shapeId="0" xr:uid="{C577A4FD-8756-486A-A757-0099136FC362}">
      <text>
        <r>
          <rPr>
            <sz val="9"/>
            <color indexed="81"/>
            <rFont val="Tahoma"/>
            <family val="2"/>
          </rPr>
          <t>The estimated incentive shown below does not incorporate project level incentive caps, which may reduce the total incentive paid to a project.</t>
        </r>
      </text>
    </comment>
    <comment ref="P5" authorId="0" shapeId="0" xr:uid="{537E3DD7-C964-4BEA-986D-E47284CCFFBD}">
      <text>
        <r>
          <rPr>
            <sz val="9"/>
            <color indexed="81"/>
            <rFont val="Tahoma"/>
            <family val="2"/>
          </rPr>
          <t>The sum of net measure costs shown on this tab and other tabs may not equal the total net project cost shown on the Summary page due to the influence of project caps, which are not incorporated here, but are incorporated into the net project cost shown on the Summary page.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Kurtz, Spencer</author>
  </authors>
  <commentList>
    <comment ref="D4" authorId="0" shapeId="0" xr:uid="{A32F2256-7DF3-4448-913E-5225BC9C90B3}">
      <text>
        <r>
          <rPr>
            <sz val="9"/>
            <color indexed="81"/>
            <rFont val="Tahoma"/>
            <family val="2"/>
          </rPr>
          <t>Add any additional or relevant notes or information for the project here that isn't captured in the previous "customer inputs" for each line item.</t>
        </r>
      </text>
    </comment>
    <comment ref="K4" authorId="0" shapeId="0" xr:uid="{372E2596-0167-4F15-B8BB-9504984122D1}">
      <text>
        <r>
          <rPr>
            <sz val="9"/>
            <color indexed="81"/>
            <rFont val="Tahoma"/>
            <family val="2"/>
          </rPr>
          <t>The estimated incentive shown below does not incorporate project level incentive caps, which may reduce the total incentive paid to a project.</t>
        </r>
      </text>
    </comment>
    <comment ref="P4" authorId="0" shapeId="0" xr:uid="{61CD1E34-8A0E-4C38-B2E6-4F19547BC4F0}">
      <text>
        <r>
          <rPr>
            <sz val="9"/>
            <color indexed="81"/>
            <rFont val="Tahoma"/>
            <family val="2"/>
          </rPr>
          <t>The sum of net measure costs shown on this tab and other tabs may not equal the total net project cost shown on the Summary page due to the influence of project caps, which are not incorporated here, but are incorporated into the net project cost shown on the Summary page.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Kurtz, Spencer</author>
    <author>Sheaffer, Andrew</author>
  </authors>
  <commentList>
    <comment ref="D4" authorId="0" shapeId="0" xr:uid="{8852E928-861B-4F50-9F15-931B672FE59D}">
      <text>
        <r>
          <rPr>
            <sz val="9"/>
            <color indexed="81"/>
            <rFont val="Tahoma"/>
            <family val="2"/>
          </rPr>
          <t>Add any additional or relevant notes or information for the project here that isn't captured in the previous "customer inputs" for each line item.</t>
        </r>
      </text>
    </comment>
    <comment ref="G4" authorId="1" shapeId="0" xr:uid="{370AD503-8518-4BE4-9F30-261E8131BB5E}">
      <text>
        <r>
          <rPr>
            <sz val="9"/>
            <color indexed="81"/>
            <rFont val="Tahoma"/>
            <family val="2"/>
          </rPr>
          <t>Window Direction refers to the primary cardinal direction that the outside of the window faces.  North facing windows are not eligible for incentives.</t>
        </r>
      </text>
    </comment>
    <comment ref="L4" authorId="0" shapeId="0" xr:uid="{E43AAA2B-FB59-4601-9A63-82D64B22A17C}">
      <text>
        <r>
          <rPr>
            <sz val="9"/>
            <color indexed="81"/>
            <rFont val="Tahoma"/>
            <family val="2"/>
          </rPr>
          <t>The estimated incentive shown below does not incorporate project level incentive caps, which may reduce the total incentive paid to a project.</t>
        </r>
      </text>
    </comment>
    <comment ref="Q4" authorId="0" shapeId="0" xr:uid="{FD1B5E53-4A50-44AD-A48E-79282DAC1595}">
      <text>
        <r>
          <rPr>
            <sz val="9"/>
            <color indexed="81"/>
            <rFont val="Tahoma"/>
            <family val="2"/>
          </rPr>
          <t>The sum of net measure costs shown on this tab and other tabs may not equal the total net project cost shown on the Summary page due to the influence of project caps, which are not incorporated here, but are incorporated into the net project cost shown on the Summary page.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Kurtz, Spencer</author>
    <author>Sheaffer, Andrew</author>
  </authors>
  <commentList>
    <comment ref="D4" authorId="0" shapeId="0" xr:uid="{DAAD1285-F039-432A-AAE5-D132FE3F433E}">
      <text>
        <r>
          <rPr>
            <sz val="9"/>
            <color indexed="81"/>
            <rFont val="Tahoma"/>
            <family val="2"/>
          </rPr>
          <t>Add any additional or relevant notes or information for the project here that isn't captured in the previous "customer inputs" for each line item.</t>
        </r>
      </text>
    </comment>
    <comment ref="E4" authorId="0" shapeId="0" xr:uid="{CCA20AD5-BC79-40D4-8F6D-89C46A550AAC}">
      <text>
        <r>
          <rPr>
            <b/>
            <sz val="9"/>
            <color indexed="81"/>
            <rFont val="Tahoma"/>
            <charset val="1"/>
          </rPr>
          <t xml:space="preserve">NOLA TRM V7.0 Table 2-153 Efficient and Premium Window Specifications
Efficient Windows
SHGC      ≤ 0.25
U Factor      ≤ 0.40 
Premium Windows 
SHGC       ≤ 0.23
U Factor     ≤ 0.36
Only premium windows are eligible for New Construction.
</t>
        </r>
        <r>
          <rPr>
            <sz val="9"/>
            <color indexed="81"/>
            <rFont val="Tahoma"/>
            <charset val="1"/>
          </rPr>
          <t xml:space="preserve">
</t>
        </r>
      </text>
    </comment>
    <comment ref="G4" authorId="1" shapeId="0" xr:uid="{9337BB8A-59AD-42D6-9F65-DD6146A6C1F6}">
      <text>
        <r>
          <rPr>
            <sz val="9"/>
            <color indexed="81"/>
            <rFont val="Tahoma"/>
            <family val="2"/>
          </rPr>
          <t>Window Direction refers to the primary cardinal direction that the outside of the window faces.</t>
        </r>
      </text>
    </comment>
    <comment ref="L4" authorId="0" shapeId="0" xr:uid="{5948E310-4F6C-4E1F-9A1F-2FB65357F6BF}">
      <text>
        <r>
          <rPr>
            <sz val="9"/>
            <color indexed="81"/>
            <rFont val="Tahoma"/>
            <family val="2"/>
          </rPr>
          <t>The estimated incentive shown below does not incorporate project level incentive caps, which may reduce the total incentive paid to a project.</t>
        </r>
      </text>
    </comment>
    <comment ref="Q4" authorId="0" shapeId="0" xr:uid="{E14AC848-E4DE-4322-80B0-B5DE0C422A8C}">
      <text>
        <r>
          <rPr>
            <sz val="9"/>
            <color indexed="81"/>
            <rFont val="Tahoma"/>
            <family val="2"/>
          </rPr>
          <t>The sum of net measure costs shown on this tab and other tabs may not equal the total net project cost shown on the Summary page due to the influence of project caps, which are not incorporated here, but are incorporated into the net project cost shown on the Summary page.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Kurtz, Spencer</author>
  </authors>
  <commentList>
    <comment ref="D4" authorId="0" shapeId="0" xr:uid="{1DB39A87-3FF1-46CB-9139-B5E0C7B613B5}">
      <text>
        <r>
          <rPr>
            <sz val="9"/>
            <color indexed="81"/>
            <rFont val="Tahoma"/>
            <family val="2"/>
          </rPr>
          <t>Add any additional or relevant notes or information for the project here that isn't captured in the previous "customer inputs" for each line item.</t>
        </r>
      </text>
    </comment>
    <comment ref="K4" authorId="0" shapeId="0" xr:uid="{40736DC0-C175-4884-A3FD-1DB4D6A3C369}">
      <text>
        <r>
          <rPr>
            <sz val="9"/>
            <color indexed="81"/>
            <rFont val="Tahoma"/>
            <family val="2"/>
          </rPr>
          <t>The estimated incentive shown below does not incorporate project level incentive caps, which may reduce the total incentive paid to a project.</t>
        </r>
      </text>
    </comment>
    <comment ref="P4" authorId="0" shapeId="0" xr:uid="{C6642756-75EC-402F-9119-0730B5C51A69}">
      <text>
        <r>
          <rPr>
            <sz val="9"/>
            <color indexed="81"/>
            <rFont val="Tahoma"/>
            <family val="2"/>
          </rPr>
          <t>The sum of net measure costs shown on this tab and other tabs may not equal the total net project cost shown on the Summary page due to the influence of project caps, which are not incorporated here, but are incorporated into the net project cost shown on the Summary page.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Kurtz, Spencer</author>
  </authors>
  <commentList>
    <comment ref="D4" authorId="0" shapeId="0" xr:uid="{CDB13C63-E3AA-4ADC-B5BB-53DD53F76244}">
      <text>
        <r>
          <rPr>
            <sz val="9"/>
            <color indexed="81"/>
            <rFont val="Tahoma"/>
            <family val="2"/>
          </rPr>
          <t>Add any additional or relevant notes or information for the project here that isn't captured in the previous "customer inputs" for each line item.</t>
        </r>
      </text>
    </comment>
    <comment ref="R4" authorId="0" shapeId="0" xr:uid="{1D268420-1B11-4337-8209-A03125C8CE8D}">
      <text>
        <r>
          <rPr>
            <sz val="9"/>
            <color indexed="81"/>
            <rFont val="Tahoma"/>
            <family val="2"/>
          </rPr>
          <t>The estimated incentive shown below does not incorporate project level incentive caps, which may reduce the total incentive paid to a project.</t>
        </r>
      </text>
    </comment>
    <comment ref="W4" authorId="0" shapeId="0" xr:uid="{9F4A06D3-C317-44AB-A1D9-E9D452E820C7}">
      <text>
        <r>
          <rPr>
            <sz val="9"/>
            <color indexed="81"/>
            <rFont val="Tahoma"/>
            <family val="2"/>
          </rPr>
          <t>The sum of net measure costs shown on this tab and other tabs may not equal the total net project cost shown on the Summary page due to the influence of project caps, which are not incorporated here, but are incorporated into the net project cost shown on the Summary page.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Sheaffer, Andrew</author>
  </authors>
  <commentList>
    <comment ref="E29" authorId="0" shapeId="0" xr:uid="{A243DF63-C6FE-44A0-BE77-0D1A27EF4ED7}">
      <text>
        <r>
          <rPr>
            <sz val="9"/>
            <color indexed="81"/>
            <rFont val="Tahoma"/>
            <family val="2"/>
          </rPr>
          <t>Incentives detailed here may differ from total incentives shown on measure input sheets due to project caps (see information on project caps on the Eligibility Tab).</t>
        </r>
      </text>
    </comment>
  </commentList>
</comments>
</file>

<file path=xl/sharedStrings.xml><?xml version="1.0" encoding="utf-8"?>
<sst xmlns="http://schemas.openxmlformats.org/spreadsheetml/2006/main" count="1441" uniqueCount="579">
  <si>
    <t>Data Entry Cell</t>
  </si>
  <si>
    <t>No Data Entry Required Cell</t>
  </si>
  <si>
    <t>HVAC Tab</t>
  </si>
  <si>
    <t>Refrigeration Tab</t>
  </si>
  <si>
    <t>Com Kitchen Tab</t>
  </si>
  <si>
    <t>Window Film Tab</t>
  </si>
  <si>
    <t>Misc Tab</t>
  </si>
  <si>
    <t>Custom Tab</t>
  </si>
  <si>
    <t>Summary Tab</t>
  </si>
  <si>
    <t>Contains a project-level summary of all measures entered into the workbook. No data entry is required on this tab.</t>
  </si>
  <si>
    <t>Signature Tab</t>
  </si>
  <si>
    <t>Product of APTIM Environmental &amp; Infrastruction, LLC</t>
  </si>
  <si>
    <t>Entergy New Orleans Customer Information</t>
  </si>
  <si>
    <t>Project Information</t>
  </si>
  <si>
    <t>Business/Organization Name</t>
  </si>
  <si>
    <t>Brief Project Description</t>
  </si>
  <si>
    <t>Customer Contact Name</t>
  </si>
  <si>
    <t>Legal Street Address 
(as shown on W-9)</t>
  </si>
  <si>
    <t>City</t>
  </si>
  <si>
    <t>State</t>
  </si>
  <si>
    <t>Estimated Project Start Date</t>
  </si>
  <si>
    <t>ZIP Code</t>
  </si>
  <si>
    <t>Estimated Project Completion Date</t>
  </si>
  <si>
    <t>Phone Number</t>
  </si>
  <si>
    <t>Program Type</t>
  </si>
  <si>
    <t>Small Commercial Solutions (project site demand &lt; 100kW)</t>
  </si>
  <si>
    <t>Contact Email Address</t>
  </si>
  <si>
    <t>Project Stage</t>
  </si>
  <si>
    <t>Pre-Retrofit</t>
  </si>
  <si>
    <t>Business/Organization Classification</t>
  </si>
  <si>
    <t>Project Installation Type</t>
  </si>
  <si>
    <t>Is this a publically funded organization?</t>
  </si>
  <si>
    <t>Job Site Information</t>
  </si>
  <si>
    <t>Is this Customer a Disadvantaged Business Enterprise (DBE)?</t>
  </si>
  <si>
    <t>Job Site Business/Organization Name</t>
  </si>
  <si>
    <t>Trade Ally/Contractor Information</t>
  </si>
  <si>
    <t>Job Site Contact Name</t>
  </si>
  <si>
    <t>Business Name</t>
  </si>
  <si>
    <t>Job Site Address</t>
  </si>
  <si>
    <t>Trade Ally Contact Name</t>
  </si>
  <si>
    <t>Address</t>
  </si>
  <si>
    <t>ZIP</t>
  </si>
  <si>
    <t>Email Address</t>
  </si>
  <si>
    <t>Entergy Account Number</t>
  </si>
  <si>
    <t>New Account? (last 8 weeks)</t>
  </si>
  <si>
    <t>No</t>
  </si>
  <si>
    <t>Registered Trade Ally?</t>
  </si>
  <si>
    <t>Year Built</t>
  </si>
  <si>
    <t>Additional Contact Information (Optional)</t>
  </si>
  <si>
    <t>Square Footage</t>
  </si>
  <si>
    <t>Does the customer own or rent/lease the job site location?</t>
  </si>
  <si>
    <t>Own</t>
  </si>
  <si>
    <t>Additional Contact Name</t>
  </si>
  <si>
    <t>Average Electric Rate ($/kWh)</t>
  </si>
  <si>
    <t>Building Type</t>
  </si>
  <si>
    <t>Education: K-12</t>
  </si>
  <si>
    <t>Heating &amp; Cooling System</t>
  </si>
  <si>
    <t>A/C with gas heat</t>
  </si>
  <si>
    <t>Water Heating System</t>
  </si>
  <si>
    <t>Electric</t>
  </si>
  <si>
    <t>Incentive Payment Information</t>
  </si>
  <si>
    <t>Mail Incentive Check To</t>
  </si>
  <si>
    <t>Customer</t>
  </si>
  <si>
    <t>Attention To (Optional)</t>
  </si>
  <si>
    <t>Project Role</t>
  </si>
  <si>
    <t>Make Check Payable To</t>
  </si>
  <si>
    <t>Additional Information</t>
  </si>
  <si>
    <t>Federal Tax ID Number</t>
  </si>
  <si>
    <t>If Energy Smart has a question, we should contact:</t>
  </si>
  <si>
    <t>Tax Entity</t>
  </si>
  <si>
    <t xml:space="preserve">How did you hear about the Energy Smart Program? </t>
  </si>
  <si>
    <t>Search Engine</t>
  </si>
  <si>
    <t>Prescriptive HVAC Measure Input</t>
  </si>
  <si>
    <t>Building/Space Type</t>
  </si>
  <si>
    <t>Health Clinic</t>
  </si>
  <si>
    <t>Proposed</t>
  </si>
  <si>
    <t>Totals</t>
  </si>
  <si>
    <t>Line Ref. No.</t>
  </si>
  <si>
    <t>Measure Number</t>
  </si>
  <si>
    <t>Location / Measure Notes</t>
  </si>
  <si>
    <t>HVAC Measure</t>
  </si>
  <si>
    <t>Unit of Measure</t>
  </si>
  <si>
    <t>Number of Units</t>
  </si>
  <si>
    <t>EER</t>
  </si>
  <si>
    <t>IEER/SEER</t>
  </si>
  <si>
    <t>HSPF</t>
  </si>
  <si>
    <t>Total Equipment Cost</t>
  </si>
  <si>
    <t>Total Labor Cost</t>
  </si>
  <si>
    <t>Per-Unit Incentive</t>
  </si>
  <si>
    <t>Estimated Incentive</t>
  </si>
  <si>
    <t>Energy Savings (kWh)</t>
  </si>
  <si>
    <t>Demand Reduction (kW)</t>
  </si>
  <si>
    <t>Cost Savings</t>
  </si>
  <si>
    <t>Gross Measure Cost</t>
  </si>
  <si>
    <t>Net Measure Cost</t>
  </si>
  <si>
    <t>Simple Payback (Years)</t>
  </si>
  <si>
    <t>High Eff. AC Unit</t>
  </si>
  <si>
    <t>High Eff. Heat Pump Unit</t>
  </si>
  <si>
    <t>High Eff. Air-Cooled Chiller</t>
  </si>
  <si>
    <t>High Eff. Centrifugal Water-Cooled Chiller</t>
  </si>
  <si>
    <t>Smart Thermostats for Small Business</t>
  </si>
  <si>
    <t>Prescriptive Refrigeration Measure Input</t>
  </si>
  <si>
    <t>Refrigeration Measure</t>
  </si>
  <si>
    <t>LED Refrigerated Case Lighting (without Controls)</t>
  </si>
  <si>
    <t>ECM Motor for Freezer or Cooler</t>
  </si>
  <si>
    <t>Door Gaskets - Coolers (Refrigeration)</t>
  </si>
  <si>
    <t>ENERGY STAR Solid Door Freezer</t>
  </si>
  <si>
    <t>Prescriptive Commercial Kitchen Measure Input</t>
  </si>
  <si>
    <t>Commercial Kitchen Measure</t>
  </si>
  <si>
    <t>ENERGY STAR Electric Griddle</t>
  </si>
  <si>
    <t>ENERGY STAR Commercial Electric Steam Cooker</t>
  </si>
  <si>
    <t>Prescriptive Window Film Measure Input</t>
  </si>
  <si>
    <t>Window Film Measure</t>
  </si>
  <si>
    <t>Window Direction</t>
  </si>
  <si>
    <t>Number of Units (Sq.Ft.)</t>
  </si>
  <si>
    <t>Measure Lookup Detail</t>
  </si>
  <si>
    <t>Window film, gas heat w/AC</t>
  </si>
  <si>
    <t>East</t>
  </si>
  <si>
    <t>South</t>
  </si>
  <si>
    <t>West</t>
  </si>
  <si>
    <t>Window film, heat pump heating/cooling</t>
  </si>
  <si>
    <t>Window film, electric resistance heat w/AC</t>
  </si>
  <si>
    <t>Premium Windows</t>
  </si>
  <si>
    <t>North</t>
  </si>
  <si>
    <t>Efficient Windows</t>
  </si>
  <si>
    <t>Prescriptive Miscellaneous Measure Input</t>
  </si>
  <si>
    <t>Miscellaneous Measure</t>
  </si>
  <si>
    <t>Advanced Power Strips</t>
  </si>
  <si>
    <t>Computer Power Management</t>
  </si>
  <si>
    <t>Custom Measure Input</t>
  </si>
  <si>
    <t>Existing</t>
  </si>
  <si>
    <t>Measure Name</t>
  </si>
  <si>
    <t>Measure Type</t>
  </si>
  <si>
    <t>Measure Classification</t>
  </si>
  <si>
    <t>Location</t>
  </si>
  <si>
    <t>HVAC in Location</t>
  </si>
  <si>
    <t>Summary of Existing Conditions</t>
  </si>
  <si>
    <t>Existing Energy Consumption (kWh/yr)</t>
  </si>
  <si>
    <t>Existing Peak Demand (kW)</t>
  </si>
  <si>
    <t>Summary of Proposed Conditions</t>
  </si>
  <si>
    <t>Proposed Energy Consumption (kWh/yr)</t>
  </si>
  <si>
    <t>Proposed Peak Demand (kW)</t>
  </si>
  <si>
    <t>Replacement</t>
  </si>
  <si>
    <t xml:space="preserve">New Fan Motors (Efficient) </t>
  </si>
  <si>
    <t>Gas heat w/AC</t>
  </si>
  <si>
    <t>Retrofit</t>
  </si>
  <si>
    <t xml:space="preserve">RCx of Existing BAS </t>
  </si>
  <si>
    <t>Electric resistance heat w/AC</t>
  </si>
  <si>
    <t>Air Handler Coil Cleaning</t>
  </si>
  <si>
    <t>Project Summary Report</t>
  </si>
  <si>
    <t>Project Summary</t>
  </si>
  <si>
    <t>Total Gross Project Cost</t>
  </si>
  <si>
    <t>Estimated Project Incentive</t>
  </si>
  <si>
    <t>Net Project Cost</t>
  </si>
  <si>
    <t>Project Energy Savings (kWh)</t>
  </si>
  <si>
    <t xml:space="preserve">Project Contacts </t>
  </si>
  <si>
    <t>Trade Ally</t>
  </si>
  <si>
    <t>Additional Contact</t>
  </si>
  <si>
    <t>Energy Savings Summary</t>
  </si>
  <si>
    <t>Incentive Type</t>
  </si>
  <si>
    <t>kW Reduction</t>
  </si>
  <si>
    <t>Total</t>
  </si>
  <si>
    <t>Financial Details</t>
  </si>
  <si>
    <t>Gross Project Cost</t>
  </si>
  <si>
    <t>Energy Smart Program Customer Agreement</t>
  </si>
  <si>
    <t>Under penalty of perjury, I certify that:</t>
  </si>
  <si>
    <t>I have read and agreed to the provisions set forth herein and to the Terms and Conditions available at: energysmartnola.com/business/terms. I understand that Energy Smart may revise these Terms and Conditions at any time and I will not be notified in the event changes are made. To the best of my knowledge, all statements made on this application are complete, true and correct.</t>
  </si>
  <si>
    <t>Link to Energy Smart Program Agreement Terms and Conditions</t>
  </si>
  <si>
    <t>Electronic Signature (Customer)</t>
  </si>
  <si>
    <t>Date</t>
  </si>
  <si>
    <t>Project Completion Notice</t>
  </si>
  <si>
    <t>All project information shown below reflects inputs in the Project Tab of the project application, to update any information shown below, please update the information in the Project Tab of the application.</t>
  </si>
  <si>
    <t>This form should not be used or signed until after the project is installed.  To indicate that a project has been installed, please update the Project Stage field on the Project Tab to "Post-Retrofit"</t>
  </si>
  <si>
    <t>Mail To</t>
  </si>
  <si>
    <t>Attention To</t>
  </si>
  <si>
    <t>Project Installation Completion Date</t>
  </si>
  <si>
    <t xml:space="preserve">I, the below signed, certify that the stated energy efficient measures detailed in this application were completed at the project location identified above and that the actual costs reported represents the final and eligible costs of the approved project. I further certify that, to the best of my knowledge, the statements made on this notice are correct. I have submitted the appropriate supporting documentation including all project invoices. </t>
  </si>
  <si>
    <t>Named Values &amp; Inputs</t>
  </si>
  <si>
    <t>Table_Prescript_Meas</t>
  </si>
  <si>
    <t>Table_WinFilm_Savings</t>
  </si>
  <si>
    <t>Table_Programs_Rates</t>
  </si>
  <si>
    <t>Value_Project_CAP</t>
  </si>
  <si>
    <t>Sort Order</t>
  </si>
  <si>
    <t>Type</t>
  </si>
  <si>
    <t>Measure Description</t>
  </si>
  <si>
    <t>Incentive - SC</t>
  </si>
  <si>
    <t>Incentive - LC</t>
  </si>
  <si>
    <t>Units</t>
  </si>
  <si>
    <t>Deemed kWh Savings</t>
  </si>
  <si>
    <t>Deemed kW Savings</t>
  </si>
  <si>
    <t>Hybrid Lookup</t>
  </si>
  <si>
    <t>Measure No</t>
  </si>
  <si>
    <t>HVAC System</t>
  </si>
  <si>
    <t>Cardinal Direction</t>
  </si>
  <si>
    <t>Lookup Detail</t>
  </si>
  <si>
    <t>List_Programs</t>
  </si>
  <si>
    <t>Custom Incentive Rate</t>
  </si>
  <si>
    <t>List_Biz_Class</t>
  </si>
  <si>
    <t>List_Tax_Entity</t>
  </si>
  <si>
    <t>List_Y_N_U</t>
  </si>
  <si>
    <t>List_Y_N</t>
  </si>
  <si>
    <t>List_DBE_Option</t>
  </si>
  <si>
    <t>List_Project_Stage</t>
  </si>
  <si>
    <t>List_Install_Type</t>
  </si>
  <si>
    <t>List_Ownership</t>
  </si>
  <si>
    <t>List_Bldg_Types</t>
  </si>
  <si>
    <t>List_HVAC</t>
  </si>
  <si>
    <t>List_Water_Heating</t>
  </si>
  <si>
    <t>List_Contacts</t>
  </si>
  <si>
    <t>List_Source</t>
  </si>
  <si>
    <t>List_HVAC_Measure</t>
  </si>
  <si>
    <t>List_Refrig_Measure</t>
  </si>
  <si>
    <t>List_ComKitch_Measure</t>
  </si>
  <si>
    <t>List_WinFilm_Measure</t>
  </si>
  <si>
    <t>List_EffWindow_Measure</t>
  </si>
  <si>
    <t>List_Misc_Measure</t>
  </si>
  <si>
    <t>List_WinFilm_Direction</t>
  </si>
  <si>
    <t>List_EffWindow_Direction</t>
  </si>
  <si>
    <t>List_Custom_Type</t>
  </si>
  <si>
    <t>List_Custom_Class</t>
  </si>
  <si>
    <t>List_Custom_HVAC</t>
  </si>
  <si>
    <t>Value_Measure_CAP</t>
  </si>
  <si>
    <t>HVAC</t>
  </si>
  <si>
    <t>ton</t>
  </si>
  <si>
    <t>Window film East exposure, gas heat w/AC</t>
  </si>
  <si>
    <t xml:space="preserve">Corporation </t>
  </si>
  <si>
    <t>Individual/Sole Proprietor</t>
  </si>
  <si>
    <t>Yes</t>
  </si>
  <si>
    <t>Contractor Install</t>
  </si>
  <si>
    <t>Rent/Lease</t>
  </si>
  <si>
    <t>Leisure Dining: Bar Area</t>
  </si>
  <si>
    <t>Bill Insert</t>
  </si>
  <si>
    <t>ENERGY STAR Commercial Electric Fryer</t>
  </si>
  <si>
    <t>New Air Handling Unit</t>
  </si>
  <si>
    <t>Value_FastTrack_Limit</t>
  </si>
  <si>
    <t>Window film West exposure, gas heat w/AC</t>
  </si>
  <si>
    <t>Large Commercial &amp; Industrial Solutions (project site demand &gt;100 kW)</t>
  </si>
  <si>
    <t>LLC, C,S,P</t>
  </si>
  <si>
    <t>LLC</t>
  </si>
  <si>
    <t>Unknown</t>
  </si>
  <si>
    <t>Post-Retrofit</t>
  </si>
  <si>
    <t>Self Install</t>
  </si>
  <si>
    <t>Corridor/Hallway/Stairwell</t>
  </si>
  <si>
    <t>A/C with electric resistance heat</t>
  </si>
  <si>
    <t>Natural Gas</t>
  </si>
  <si>
    <t>Trade Ally/Contractor</t>
  </si>
  <si>
    <t>Calling Campaign</t>
  </si>
  <si>
    <t>Evaporator Fan Controller for Freezer or Cooler</t>
  </si>
  <si>
    <t xml:space="preserve">New Air-Cooled Chiller </t>
  </si>
  <si>
    <t>Heat pump heating/cooling</t>
  </si>
  <si>
    <t>Value_Cus_IncentRate</t>
  </si>
  <si>
    <t>High Eff. Packaged Terminal AC (PTAC) Unit</t>
  </si>
  <si>
    <t>Window film South exposure, gas heat w/AC</t>
  </si>
  <si>
    <t>Individual/Sole Proprietorship</t>
  </si>
  <si>
    <t>Corporation</t>
  </si>
  <si>
    <t>Yes-DOT Disadvantaged Business Enterprise</t>
  </si>
  <si>
    <t>Direct Install</t>
  </si>
  <si>
    <t>Education: College/University</t>
  </si>
  <si>
    <t>A/C with heat pump heat</t>
  </si>
  <si>
    <t>Oil</t>
  </si>
  <si>
    <t>Direct Mail</t>
  </si>
  <si>
    <t>Anti-Sweat Heater Controls for Freezer or Cooler</t>
  </si>
  <si>
    <t>ENERGY STAR Electric Convection Oven</t>
  </si>
  <si>
    <t>Low-Flow Faucet Aerators</t>
  </si>
  <si>
    <t>New Equipment</t>
  </si>
  <si>
    <t xml:space="preserve">New Water-Cooled Chiller </t>
  </si>
  <si>
    <t>Value_Max_ItoC_Ratio</t>
  </si>
  <si>
    <t>High Eff. Packaged Terminal HP (PTHP) Unit</t>
  </si>
  <si>
    <t>Window film East exposure, heat pump heating/cooling</t>
  </si>
  <si>
    <t>Partnership</t>
  </si>
  <si>
    <t>Yes-Disabled Veteran-Owned Business Enterprise (DVET)</t>
  </si>
  <si>
    <t>Other</t>
  </si>
  <si>
    <t>A/C with no heat</t>
  </si>
  <si>
    <t>Propane</t>
  </si>
  <si>
    <t>Job Site</t>
  </si>
  <si>
    <t>Energy Advisor</t>
  </si>
  <si>
    <t>Refrigerated Case Night Covers</t>
  </si>
  <si>
    <t>Low-Flow Shower Heads</t>
  </si>
  <si>
    <t xml:space="preserve">New Packaged/Rooftop Unit </t>
  </si>
  <si>
    <t>Value_Application_Version</t>
  </si>
  <si>
    <t>Version 3.1</t>
  </si>
  <si>
    <t>unit</t>
  </si>
  <si>
    <t>Window film West exposure, heat pump heating/cooling</t>
  </si>
  <si>
    <t>Trust/Estate</t>
  </si>
  <si>
    <t>Trust/estate</t>
  </si>
  <si>
    <t>Yes-Veteran-Owned Business Enterprise (VBE)</t>
  </si>
  <si>
    <t>Exterior/Outdoors/Parking Lot</t>
  </si>
  <si>
    <t>Refrigerated space (33-41°F)</t>
  </si>
  <si>
    <t>Steam</t>
  </si>
  <si>
    <t>Event/Trade Show</t>
  </si>
  <si>
    <t>ENERGY STAR Solid Door Refrigerator</t>
  </si>
  <si>
    <t>Food Service Kitchen Exhaust Controls</t>
  </si>
  <si>
    <t>Value_Bonus_Rate</t>
  </si>
  <si>
    <t>n/a</t>
  </si>
  <si>
    <t>Window film South exposure, heat pump heating/cooling</t>
  </si>
  <si>
    <t>Non-Profit</t>
  </si>
  <si>
    <t>Exempt</t>
  </si>
  <si>
    <t>Yes-Woman-Owned Business Enterprise (WBE)</t>
  </si>
  <si>
    <t>Food Sales: 24-Hour Supermarket</t>
  </si>
  <si>
    <t>Freezer space (-10-10°F)</t>
  </si>
  <si>
    <t>ENERGY STAR Commercial Dishwasher</t>
  </si>
  <si>
    <t xml:space="preserve">New Pump Motors (Efficient) </t>
  </si>
  <si>
    <t>Commercial Duct Sealing</t>
  </si>
  <si>
    <t>cfm leakage reduction</t>
  </si>
  <si>
    <t>Window film East exposure, electric resistance heat w/AC</t>
  </si>
  <si>
    <t>Yes-SBA 8(a) program</t>
  </si>
  <si>
    <t>Food Sales: Non 24-Hour Supermarket</t>
  </si>
  <si>
    <t>N/A (Unconditioned)</t>
  </si>
  <si>
    <t>Not Applicable</t>
  </si>
  <si>
    <t>SMS Text</t>
  </si>
  <si>
    <t>Strip Curtains for Walk-In Coolers</t>
  </si>
  <si>
    <t>Pre-Rinse Spray Valves</t>
  </si>
  <si>
    <t>New Fan Coil Unit</t>
  </si>
  <si>
    <t>Window film West exposure, electric resistance heat w/AC</t>
  </si>
  <si>
    <t>Yes-SMA Small Disadvantaged Business Enterprise (SDB)</t>
  </si>
  <si>
    <t>Food Service: Fast Food</t>
  </si>
  <si>
    <t>Social Media</t>
  </si>
  <si>
    <t>Strip Curtains for Walk-In Freezers</t>
  </si>
  <si>
    <t xml:space="preserve">New Cooling Tower </t>
  </si>
  <si>
    <t>High Eff. Positive Displacement Water-Cooled Chiller</t>
  </si>
  <si>
    <t>Window film South exposure, electric resistance heat w/AC</t>
  </si>
  <si>
    <t>Yes-SBA HubZone Business Enterprise (HubZone)</t>
  </si>
  <si>
    <t>Food Service: Sit-Down Restaurant</t>
  </si>
  <si>
    <t>Utility Website</t>
  </si>
  <si>
    <t>Strip Curtains for Refrigerated Warehouse Doors</t>
  </si>
  <si>
    <t>New Cooling Tower and Chiller</t>
  </si>
  <si>
    <t>Yes-LGBT-Owned Business Enterprise</t>
  </si>
  <si>
    <t>Health Care: In-Patient</t>
  </si>
  <si>
    <t xml:space="preserve">VFD for Existing Air Handling Unit </t>
  </si>
  <si>
    <t>Table_EffWindow_Savings</t>
  </si>
  <si>
    <t>Yes-DBE Type Not Listed</t>
  </si>
  <si>
    <t>Health Care: Nursing Home</t>
  </si>
  <si>
    <t>Door Gaskets - Freezers (Refrigeration)</t>
  </si>
  <si>
    <t xml:space="preserve">VFD for Existing Fan Motors </t>
  </si>
  <si>
    <t>Health Care: Out-Patient</t>
  </si>
  <si>
    <t>Auto Door-Closers - Coolers (Refrigeration)</t>
  </si>
  <si>
    <t xml:space="preserve">VFD for Existing Pump Motors </t>
  </si>
  <si>
    <t>Premium Windows, facing North</t>
  </si>
  <si>
    <t>Convenience Store (non-24 hour)</t>
  </si>
  <si>
    <t>Auto Door-Closers - Freezers (Refrigeration)</t>
  </si>
  <si>
    <t xml:space="preserve">New Air Handling Units and VFD </t>
  </si>
  <si>
    <t>Premium Windows, facing South</t>
  </si>
  <si>
    <t>Lodging (Hotel/Motel/Dorm): Common Areas</t>
  </si>
  <si>
    <t xml:space="preserve">New Pumps and VFD </t>
  </si>
  <si>
    <t>Refrigeration</t>
  </si>
  <si>
    <t>Premium Windows, facing West</t>
  </si>
  <si>
    <t>Lodging (Hotel/Motel/Dorm): Room</t>
  </si>
  <si>
    <t>LED Refrigerated Case Lighting (with Controls)</t>
  </si>
  <si>
    <t xml:space="preserve">Existing Chiller Control Optimization </t>
  </si>
  <si>
    <t>motor controlled</t>
  </si>
  <si>
    <t>Premium Windows, facing East</t>
  </si>
  <si>
    <t>Manufacturing</t>
  </si>
  <si>
    <t xml:space="preserve">Existing Cooling Tower Control Optimization </t>
  </si>
  <si>
    <t>linear ft of refrigerated case</t>
  </si>
  <si>
    <t>Efficient Windows, facing North</t>
  </si>
  <si>
    <t>Multi-family Housing: Common Areas</t>
  </si>
  <si>
    <t xml:space="preserve">Existing Cooling Tower and Chiller Control Optimization </t>
  </si>
  <si>
    <t>linear ft of case</t>
  </si>
  <si>
    <t>Efficient Windows, facing South</t>
  </si>
  <si>
    <t>Non-Warehouse Storage (Generic)</t>
  </si>
  <si>
    <t>New Chiller and Controls Optimization</t>
  </si>
  <si>
    <t>Efficient Windows, facing West</t>
  </si>
  <si>
    <t>Office</t>
  </si>
  <si>
    <t>New Cooling Tower and Controls Optimization</t>
  </si>
  <si>
    <t>Efficient Windows, facing East</t>
  </si>
  <si>
    <t>Office (attached to other facility)</t>
  </si>
  <si>
    <t xml:space="preserve">Optimizing Process Cooling </t>
  </si>
  <si>
    <t>sqft covered</t>
  </si>
  <si>
    <t>Parking Structure</t>
  </si>
  <si>
    <t>Optimizing Process Heating</t>
  </si>
  <si>
    <t>Public Assembly</t>
  </si>
  <si>
    <t>Process Heat Recovery</t>
  </si>
  <si>
    <t>Public Order and Safety</t>
  </si>
  <si>
    <t xml:space="preserve">Efficient Air Compressor </t>
  </si>
  <si>
    <t>422530</t>
  </si>
  <si>
    <t>per linear ft</t>
  </si>
  <si>
    <t>Religious Gathering</t>
  </si>
  <si>
    <t xml:space="preserve">Compressed Air Optimization </t>
  </si>
  <si>
    <t>422030</t>
  </si>
  <si>
    <t>Restroom (Generic)</t>
  </si>
  <si>
    <t>Upgrading Existing BAS</t>
  </si>
  <si>
    <t>421830</t>
  </si>
  <si>
    <t>per unit</t>
  </si>
  <si>
    <t>Retail: Enclosed Mall</t>
  </si>
  <si>
    <t xml:space="preserve">New BAS </t>
  </si>
  <si>
    <t>421930</t>
  </si>
  <si>
    <t>Retail: Freestanding</t>
  </si>
  <si>
    <t>door</t>
  </si>
  <si>
    <t>Retail: Other</t>
  </si>
  <si>
    <t xml:space="preserve">Scheduling of Existing BAS </t>
  </si>
  <si>
    <t>Retail: Strip Mall</t>
  </si>
  <si>
    <t xml:space="preserve">Temperature Setback of Existing BAS </t>
  </si>
  <si>
    <t>Commercial Kitchen</t>
  </si>
  <si>
    <t>Service: Excluding Food</t>
  </si>
  <si>
    <t xml:space="preserve">Demand Control Ventilation </t>
  </si>
  <si>
    <t>Warehouse: Non-Refrigerated</t>
  </si>
  <si>
    <t xml:space="preserve">Combined Measures </t>
  </si>
  <si>
    <t>Warehouse: Refrigerated</t>
  </si>
  <si>
    <t>linear ft of width</t>
  </si>
  <si>
    <t>Other/Unknown</t>
  </si>
  <si>
    <t>HVAC Custom Measure - Other</t>
  </si>
  <si>
    <t>exhaust fan HP</t>
  </si>
  <si>
    <t>Chiller Plant Optimization</t>
  </si>
  <si>
    <t>Cool Roof</t>
  </si>
  <si>
    <t>Roof or Wall Insulation</t>
  </si>
  <si>
    <t>Window Film</t>
  </si>
  <si>
    <t>sqft</t>
  </si>
  <si>
    <t>Building Envelope Custom Measure - Other</t>
  </si>
  <si>
    <t>Other - Measure Type Not Listed</t>
  </si>
  <si>
    <t>Misc</t>
  </si>
  <si>
    <t>Custom</t>
  </si>
  <si>
    <t>Table 2‑34 Equivalent Full-Load Hours by building type</t>
  </si>
  <si>
    <r>
      <t>EFLH</t>
    </r>
    <r>
      <rPr>
        <b/>
        <vertAlign val="subscript"/>
        <sz val="11"/>
        <color theme="1"/>
        <rFont val="Calibri"/>
        <family val="2"/>
        <scheme val="minor"/>
      </rPr>
      <t>C</t>
    </r>
  </si>
  <si>
    <r>
      <t>EFLH</t>
    </r>
    <r>
      <rPr>
        <b/>
        <vertAlign val="subscript"/>
        <sz val="11"/>
        <color theme="1"/>
        <rFont val="Calibri"/>
        <family val="2"/>
        <scheme val="minor"/>
      </rPr>
      <t>H</t>
    </r>
  </si>
  <si>
    <t>Coincidence Factor</t>
  </si>
  <si>
    <t>Fast Food</t>
  </si>
  <si>
    <t>Grocery</t>
  </si>
  <si>
    <t>Large Office</t>
  </si>
  <si>
    <t>Lodging</t>
  </si>
  <si>
    <t>Full Menu Restaurant</t>
  </si>
  <si>
    <t>Retail</t>
  </si>
  <si>
    <t>School</t>
  </si>
  <si>
    <t>Small Office</t>
  </si>
  <si>
    <t>University</t>
  </si>
  <si>
    <t>Baseline</t>
  </si>
  <si>
    <t>Efficient (Requirement)</t>
  </si>
  <si>
    <t>Tons Requirement</t>
  </si>
  <si>
    <t>Equipment Type</t>
  </si>
  <si>
    <t>Min EER</t>
  </si>
  <si>
    <t>Min SEER/IEER</t>
  </si>
  <si>
    <t>Min Htg Eff. (HSPF)</t>
  </si>
  <si>
    <t>Min</t>
  </si>
  <si>
    <t>Max</t>
  </si>
  <si>
    <t>A/C Unit (&lt; 5.42 Tons) - Min. efficiency of 12.3 EER/14.5 SEER2</t>
  </si>
  <si>
    <t>A/C Unit (5.42 - 11.24 Tons) - Min. efficiency 12.2 EER/14.8 SEER</t>
  </si>
  <si>
    <t>A/C Unit (11.25 - 19.9 Tons) - Min. efficiency 12.2 EER/14.8 SEER</t>
  </si>
  <si>
    <t>A/C Unit (20 to 63.3 Tons) - Min. efficiency 10.8 EER/13.5 SEER</t>
  </si>
  <si>
    <t>A/C Unit (&gt;63.3 tons) - Min. efficiency 10.4 EER, 13.0 SEER</t>
  </si>
  <si>
    <t>Heat Pump (&lt; 5.42 Tons) - Min. efficiency 12.3 EER/14.5 SEER2/8.0 HSPF2</t>
  </si>
  <si>
    <t>Heat Pump (5.42 - 11.24 Tons) - Min. efficiency 11.3 EER/14.5 SEER/12.0 HSPF</t>
  </si>
  <si>
    <t>Heat Pump (11.25 - 19.9 Tons) - Min. efficiency 10.9 EER/14.0 SEER/12.0 HSPF</t>
  </si>
  <si>
    <t>Heat Pump (&gt;= 20 Tons) - Min. efficiency 10.3 EER/13.0 SEER/12.0 HSPF</t>
  </si>
  <si>
    <t>Table 2‑29 Deemed Savings by Building Type - PTAC</t>
  </si>
  <si>
    <t>kWh</t>
  </si>
  <si>
    <t>kW</t>
  </si>
  <si>
    <t>Table 2‑30 Deemed Savings by Building Type - PTHP</t>
  </si>
  <si>
    <t>Table 2‑37 Deemed Savings – Air-Cooled Chillers</t>
  </si>
  <si>
    <t>&lt;150</t>
  </si>
  <si>
    <t>&gt; 150</t>
  </si>
  <si>
    <t>Capacity (Tons)</t>
  </si>
  <si>
    <t>Path A</t>
  </si>
  <si>
    <t>Path B</t>
  </si>
  <si>
    <t>Energy (kWh/Ton)</t>
  </si>
  <si>
    <t>Demand (kW/Ton)</t>
  </si>
  <si>
    <t>Table 2‑38 Deemed Savings – Water-Cooled Chillers – Positive Displacement</t>
  </si>
  <si>
    <t>&lt; 75</t>
  </si>
  <si>
    <t>&gt; 75 and &lt; 150</t>
  </si>
  <si>
    <t>&gt; 150 and &lt; 300</t>
  </si>
  <si>
    <t>&gt; 300</t>
  </si>
  <si>
    <t>Table 2‑39 Deemed Savings – Water-Cooled Chillers – Centrifugal</t>
  </si>
  <si>
    <t>CAP</t>
  </si>
  <si>
    <t>&lt; 300</t>
  </si>
  <si>
    <t>&gt; 300 and &lt; 600</t>
  </si>
  <si>
    <t>&gt; 600</t>
  </si>
  <si>
    <t>Baseline EER (A/C)</t>
  </si>
  <si>
    <t>Baseline EER (Heat Pump)</t>
  </si>
  <si>
    <t>Baseline IEER/SEER (A/C)</t>
  </si>
  <si>
    <t>Baseline IEER/SEER (Heat Pump)</t>
  </si>
  <si>
    <t>Baseline HSPF (Heat Pump)</t>
  </si>
  <si>
    <t>kWh Savings</t>
  </si>
  <si>
    <t>kW Savings</t>
  </si>
  <si>
    <t>Table_Measure_Caps</t>
  </si>
  <si>
    <t>Table_Bonus_Caps</t>
  </si>
  <si>
    <t>Worksheet</t>
  </si>
  <si>
    <t>Estimated Raw Incentive Total</t>
  </si>
  <si>
    <t>Energy Savings Total (kWh)</t>
  </si>
  <si>
    <t>Demand Reduction Total (kW)</t>
  </si>
  <si>
    <t>Cost Savings Total</t>
  </si>
  <si>
    <t>Gross Measure Cost Total</t>
  </si>
  <si>
    <t>Net Measure Cost Total</t>
  </si>
  <si>
    <t>Raw ItoC Ratio</t>
  </si>
  <si>
    <t>Capped Incentive</t>
  </si>
  <si>
    <t>Bonus Rate</t>
  </si>
  <si>
    <t>Raw Incentive Total</t>
  </si>
  <si>
    <t>Uncapped Bonus</t>
  </si>
  <si>
    <t>Final Bonus</t>
  </si>
  <si>
    <t>Prescriptive HVAC</t>
  </si>
  <si>
    <t>Prescriptive Refrigeration</t>
  </si>
  <si>
    <t>Com Kitchen</t>
  </si>
  <si>
    <t>Prescriptive Commercial Kitchen</t>
  </si>
  <si>
    <t>Prescriptive Window Film</t>
  </si>
  <si>
    <t>Prescriptive Miscellaneous</t>
  </si>
  <si>
    <t>Project ID Number</t>
  </si>
  <si>
    <t>Include Snips of Documentation (Business Type, Invoice, DLC, specs)</t>
  </si>
  <si>
    <t>Annual Usage from APTracks (kWh)</t>
  </si>
  <si>
    <t>Savings as a % of the Annual Usage</t>
  </si>
  <si>
    <t>QC Checklist</t>
  </si>
  <si>
    <t>Advisor Review</t>
  </si>
  <si>
    <t>Engineering Review</t>
  </si>
  <si>
    <t>Name</t>
  </si>
  <si>
    <t>Is the building type accurate?</t>
  </si>
  <si>
    <t>Do the fixture quantities match the invoices/proposals?</t>
  </si>
  <si>
    <t>Do the baseline wattage values agree with the TRM?</t>
  </si>
  <si>
    <t>Do the LED wattage values match the spec sheets?</t>
  </si>
  <si>
    <t>Do the LEDs have DLC or ES certification?</t>
  </si>
  <si>
    <t>Does HVAC type makes sense for the facility?</t>
  </si>
  <si>
    <t>Is there a bonus? If yes, unhide Summary columns E &amp; F</t>
  </si>
  <si>
    <t>Are supporting snips provided (see right)?</t>
  </si>
  <si>
    <t>Verify that Bonus (if applicable) doesn't exceed caps</t>
  </si>
  <si>
    <t>Incentive Review</t>
  </si>
  <si>
    <t>Prescriptive</t>
  </si>
  <si>
    <t>Incentive</t>
  </si>
  <si>
    <t>Project Cost</t>
  </si>
  <si>
    <t>Ratio: Incentive / $25K Cap</t>
  </si>
  <si>
    <t>Ratio: Incentive / Project Cost</t>
  </si>
  <si>
    <t>Automated Checks</t>
  </si>
  <si>
    <t>Summary kWh = Export kWh</t>
  </si>
  <si>
    <t>Summary Incentives = Export Incentives</t>
  </si>
  <si>
    <t>Summary Costs = Export Costs</t>
  </si>
  <si>
    <t>Summary Other Costs = Export Install Costs</t>
  </si>
  <si>
    <t>Table_Contacts</t>
  </si>
  <si>
    <t>Entity</t>
  </si>
  <si>
    <t>Contact Name</t>
  </si>
  <si>
    <t>Street</t>
  </si>
  <si>
    <t>Zip</t>
  </si>
  <si>
    <t>Phone</t>
  </si>
  <si>
    <t>Email</t>
  </si>
  <si>
    <t>Classification</t>
  </si>
  <si>
    <t>PFI?</t>
  </si>
  <si>
    <t>DBE?</t>
  </si>
  <si>
    <t>Registered TA?</t>
  </si>
  <si>
    <t>Check Payable To</t>
  </si>
  <si>
    <t>NA</t>
  </si>
  <si>
    <t>Payee</t>
  </si>
  <si>
    <t>Tab</t>
  </si>
  <si>
    <t>Project Number</t>
  </si>
  <si>
    <t>Line Ref No.</t>
  </si>
  <si>
    <t>Equipment Cost</t>
  </si>
  <si>
    <t>Labor Cost</t>
  </si>
  <si>
    <t>Calculator Version</t>
  </si>
  <si>
    <t>Uncapped Incentive</t>
  </si>
  <si>
    <t>ea.</t>
  </si>
  <si>
    <t>Commercial and Industrial Non-Lighting Workbook</t>
  </si>
  <si>
    <r>
      <t xml:space="preserve">Energy Smart energy efficiency incentives are available to all commercial Entergy New Orleans customers.  This workbook serves as the primary application for non-lighting energy efficiency projects. The workbook provides an estimate of the energy saved as well as potential Energy Smart incentives, subject to review and approval by the program team. </t>
    </r>
    <r>
      <rPr>
        <b/>
        <sz val="10"/>
        <color theme="8"/>
        <rFont val="Calibri"/>
        <family val="2"/>
        <scheme val="minor"/>
      </rPr>
      <t xml:space="preserve">Pre-approval and a pre-installation site inspection are required for projects with custom measures and projects with prescriptive measures over $5,000.
</t>
    </r>
    <r>
      <rPr>
        <sz val="10"/>
        <color theme="1"/>
        <rFont val="Calibri"/>
        <family val="2"/>
        <scheme val="minor"/>
      </rPr>
      <t xml:space="preserve">
</t>
    </r>
  </si>
  <si>
    <t>Energy Smart Project Application Package</t>
  </si>
  <si>
    <t>Cells with a green background are data input cells where required information is needed.  Some data entry cells will have drop down selection that limit what data may be entered.</t>
  </si>
  <si>
    <t xml:space="preserve">Cells colored in gray should not be filled in and may be locked to prevent data entry. </t>
  </si>
  <si>
    <t>Workbook Data Entry</t>
  </si>
  <si>
    <t>Intro Tab</t>
  </si>
  <si>
    <t xml:space="preserve">Contains information about the workbook, requirements for eligible equipment and application package submittal instructions. </t>
  </si>
  <si>
    <t>Application Tab</t>
  </si>
  <si>
    <t>Efficient Windows Tab</t>
  </si>
  <si>
    <t>Prescriptive Window Replacement Measure Input</t>
  </si>
  <si>
    <t>Window Replacement Measure</t>
  </si>
  <si>
    <t>PROJECT APPLICATION INFORMATION</t>
  </si>
  <si>
    <r>
      <t xml:space="preserve">Provides project application.  This tab must be completed before submitting application package to the Energy Smart program.  </t>
    </r>
    <r>
      <rPr>
        <b/>
        <i/>
        <sz val="10"/>
        <color theme="8"/>
        <rFont val="Calibri"/>
        <family val="2"/>
        <scheme val="minor"/>
      </rPr>
      <t>DATA ENTRY REQUIRED.</t>
    </r>
  </si>
  <si>
    <r>
      <t xml:space="preserve">Contains the Customer Application Agreement and link to program terms and conditions. 
</t>
    </r>
    <r>
      <rPr>
        <b/>
        <i/>
        <sz val="10"/>
        <color theme="8"/>
        <rFont val="Calibri"/>
        <family val="2"/>
        <scheme val="minor"/>
      </rPr>
      <t>CUSTOMER'S ELECTRONIC SIGNATURE REQUIRED.</t>
    </r>
  </si>
  <si>
    <r>
      <t xml:space="preserve">Provides a space for entering information on prescriptive HVAC measures.  
</t>
    </r>
    <r>
      <rPr>
        <b/>
        <i/>
        <sz val="10"/>
        <color theme="8"/>
        <rFont val="Calibri"/>
        <family val="2"/>
        <scheme val="minor"/>
      </rPr>
      <t>DATA ENTRY REQUIRED IF APPLYING FOR PRESCRIPTIVE HVAC MEASURES.</t>
    </r>
  </si>
  <si>
    <r>
      <t xml:space="preserve">Provides spaces for entering information on prescriptive refrigeration measures. 
</t>
    </r>
    <r>
      <rPr>
        <b/>
        <i/>
        <sz val="10"/>
        <color theme="8"/>
        <rFont val="Calibri"/>
        <family val="2"/>
        <scheme val="minor"/>
      </rPr>
      <t>DATA ENTRY REQUIRED IF APPLYING FOR PRESCRIPTIVE REFRIGERATION MEASURES.</t>
    </r>
  </si>
  <si>
    <r>
      <t xml:space="preserve">Provides a space for entering information on prescriptive commercial kitchen measures.  
</t>
    </r>
    <r>
      <rPr>
        <b/>
        <i/>
        <sz val="10"/>
        <color theme="8"/>
        <rFont val="Calibri"/>
        <family val="2"/>
        <scheme val="minor"/>
      </rPr>
      <t>DATA ENTRY REQUIRED IF APPLYING FOR COMMERCIAL KITCHEN MEASURES.</t>
    </r>
  </si>
  <si>
    <r>
      <t xml:space="preserve">Provides a space for entering information on prescriptive window film measures.  
</t>
    </r>
    <r>
      <rPr>
        <b/>
        <i/>
        <sz val="10"/>
        <color theme="8"/>
        <rFont val="Calibri"/>
        <family val="2"/>
        <scheme val="minor"/>
      </rPr>
      <t>DATA ENTRY REQUIRED IF APPLYING FOR WINDOW FILM MEASURES.</t>
    </r>
  </si>
  <si>
    <r>
      <t xml:space="preserve">Provides a space for entering information on prescriptive window replacement measures.  
</t>
    </r>
    <r>
      <rPr>
        <b/>
        <i/>
        <sz val="10"/>
        <color theme="8"/>
        <rFont val="Calibri"/>
        <family val="2"/>
        <scheme val="minor"/>
      </rPr>
      <t>DATA ENTRY REQUIRED IF APPLYING FOR WINDOW REPLACEMENT MEASURES.</t>
    </r>
  </si>
  <si>
    <r>
      <t xml:space="preserve">Provides a space for entering information on miscellaneous prescriptive measures.  
</t>
    </r>
    <r>
      <rPr>
        <b/>
        <i/>
        <sz val="10"/>
        <color theme="8"/>
        <rFont val="Calibri"/>
        <family val="2"/>
        <scheme val="minor"/>
      </rPr>
      <t>DATA ENTRY REQUIRED IF APPLYING FOR MISCELLANEOUS MEASURES.</t>
    </r>
  </si>
  <si>
    <r>
      <t xml:space="preserve">Provides a space for entering information on custom measures.  
</t>
    </r>
    <r>
      <rPr>
        <b/>
        <i/>
        <sz val="10"/>
        <color theme="8"/>
        <rFont val="Calibri"/>
        <family val="2"/>
        <scheme val="minor"/>
      </rPr>
      <t>DATA ENTRY REQUIRED IF APPLYING FOR CUSTOM MEASURES.</t>
    </r>
  </si>
  <si>
    <t>Workbook Tabs</t>
  </si>
  <si>
    <t>Equipment Qualifications</t>
  </si>
  <si>
    <r>
      <t xml:space="preserve">Before ordering equipment, submit Application Package to </t>
    </r>
    <r>
      <rPr>
        <b/>
        <sz val="10"/>
        <color theme="8"/>
        <rFont val="Calibri"/>
        <family val="2"/>
        <scheme val="minor"/>
      </rPr>
      <t>commercialapps@energysmartnola.com</t>
    </r>
    <r>
      <rPr>
        <sz val="10"/>
        <color theme="1"/>
        <rFont val="Calibri"/>
        <family val="2"/>
        <scheme val="minor"/>
      </rPr>
      <t xml:space="preserve">
</t>
    </r>
    <r>
      <rPr>
        <b/>
        <sz val="10"/>
        <color theme="1"/>
        <rFont val="Calibri"/>
        <family val="2"/>
        <scheme val="minor"/>
      </rPr>
      <t xml:space="preserve">Application Package includes: </t>
    </r>
    <r>
      <rPr>
        <sz val="10"/>
        <color theme="1"/>
        <rFont val="Calibri"/>
        <family val="2"/>
        <scheme val="minor"/>
      </rPr>
      <t xml:space="preserve">
1. Completed Energy Smart Workbook (this workbook).
2. Entergy New Orleans electric bill for primary account at job site location. 
3. Cut sheets or manufacturer's specification sheets for all proposed equipment. 
4. Detailed project proposal/quote.
5. Photos of existing equipment.
6. W9 for incentive payee. 
For custom scope of work, include detailed energy savings calculations. </t>
    </r>
  </si>
  <si>
    <t xml:space="preserve">For HVAC replacement equipment (A/C units, heat pumps, chillers) to be eligible for Energy Smart incentives, an AHRI reference number or documentation from the AHRI Manual to verify the required efficiency level for all systems is required. Minimum EER and SEER requirmenets are included on the Energy Smart Prescriptive Incentive list. </t>
  </si>
  <si>
    <t xml:space="preserve">To be eligible for duct sealing incentives, the facility must have central air conditioning with less than 50% of ducts in the conditioned space. Incentives are paid based on improvement of duct leakage measured via pre- and post-improvement tests. Total leakage is the only accepted method of duct testing. If initial measurement is greater than 40% of total system airflow, the 40% of total airflow will be the initial leakage rate reported for incentives. A minimum of 25% improvement in CFM(@25 Pa) from the initial test value (either 40% or the measured leakage, whichever is less) is required for duct sealing to be an eligible incentive measure. Ducts sealed with long-lasting materials such as UL 181A or UL 181B-approved foil tape. Fabric-based duct tape is not allowed. </t>
  </si>
  <si>
    <t xml:space="preserve">Commercial kitchen equipment must be electrically heated and ENERGY STAR certified: https://www.energystar.gov/products/commercial_food_service_equipment </t>
  </si>
  <si>
    <r>
      <t xml:space="preserve">Energy Smart is proud to help New Orleans businesses increase energy efficiency and lower costs. 
Contact us at </t>
    </r>
    <r>
      <rPr>
        <b/>
        <sz val="10"/>
        <color theme="8"/>
        <rFont val="Calibri"/>
        <family val="2"/>
        <scheme val="minor"/>
      </rPr>
      <t>info@energysmartnola.com</t>
    </r>
    <r>
      <rPr>
        <b/>
        <sz val="10"/>
        <color theme="1"/>
        <rFont val="Calibri"/>
        <family val="2"/>
        <scheme val="minor"/>
      </rPr>
      <t xml:space="preserve"> for more opportunities to save.</t>
    </r>
  </si>
  <si>
    <t>Guestroom Energy Management Controls</t>
  </si>
  <si>
    <t>Index</t>
  </si>
  <si>
    <t>File Version</t>
  </si>
  <si>
    <t>Change</t>
  </si>
  <si>
    <t>Person</t>
  </si>
  <si>
    <t>v3.1 - 2024</t>
  </si>
  <si>
    <t>Verifying everything is in line with IECC 2021 LA state energy code; Added window replacement prescriptive measure; Removed HVAC tune-up measures; Adjusted the information in the "Intro" tab</t>
  </si>
  <si>
    <t>Spencer Kurtz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</si>
</sst>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4" formatCode="_(&quot;$&quot;* #,##0.00_);_(&quot;$&quot;* \(#,##0.00\);_(&quot;$&quot;* &quot;-&quot;??_);_(@_)"/>
    <numFmt numFmtId="164" formatCode="&quot;$&quot;#,##0.00"/>
    <numFmt numFmtId="165" formatCode="&quot;$&quot;#,##0"/>
    <numFmt numFmtId="166" formatCode="0.0"/>
    <numFmt numFmtId="167" formatCode="#,##0.0"/>
    <numFmt numFmtId="168" formatCode="#,##0.000"/>
    <numFmt numFmtId="169" formatCode="0.000"/>
    <numFmt numFmtId="170" formatCode="0.0%"/>
    <numFmt numFmtId="171" formatCode="&quot;$&quot;#,##0.000"/>
  </numFmts>
  <fonts count="59"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3F3F76"/>
      <name val="Calibri"/>
      <family val="2"/>
      <scheme val="minor"/>
    </font>
    <font>
      <sz val="10"/>
      <color theme="1"/>
      <name val="Arial"/>
      <family val="2"/>
    </font>
    <font>
      <sz val="9"/>
      <color indexed="81"/>
      <name val="Tahoma"/>
      <family val="2"/>
    </font>
    <font>
      <sz val="11"/>
      <name val="Calibri"/>
      <family val="2"/>
      <scheme val="minor"/>
    </font>
    <font>
      <sz val="8"/>
      <name val="Calibri"/>
      <family val="2"/>
      <scheme val="minor"/>
    </font>
    <font>
      <b/>
      <sz val="10"/>
      <name val="Arial"/>
      <family val="2"/>
    </font>
    <font>
      <b/>
      <sz val="10"/>
      <color theme="0"/>
      <name val="Calibri"/>
      <family val="2"/>
      <scheme val="minor"/>
    </font>
    <font>
      <sz val="10"/>
      <color theme="1"/>
      <name val="Calibri"/>
      <family val="2"/>
      <scheme val="minor"/>
    </font>
    <font>
      <b/>
      <sz val="12"/>
      <color theme="0"/>
      <name val="Arial"/>
      <family val="2"/>
    </font>
    <font>
      <sz val="12"/>
      <color theme="0"/>
      <name val="Arial"/>
      <family val="2"/>
    </font>
    <font>
      <sz val="10"/>
      <color theme="0"/>
      <name val="Arial"/>
      <family val="2"/>
    </font>
    <font>
      <sz val="12"/>
      <color theme="1"/>
      <name val="Arial"/>
      <family val="2"/>
    </font>
    <font>
      <sz val="11"/>
      <color theme="0"/>
      <name val="Calibri"/>
      <family val="2"/>
      <scheme val="minor"/>
    </font>
    <font>
      <u/>
      <sz val="11"/>
      <color theme="1"/>
      <name val="Calibri"/>
      <family val="2"/>
      <scheme val="minor"/>
    </font>
    <font>
      <sz val="10"/>
      <color theme="0"/>
      <name val="Calibri"/>
      <family val="2"/>
      <scheme val="minor"/>
    </font>
    <font>
      <b/>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2"/>
      <color theme="0"/>
      <name val="Calibri"/>
      <family val="2"/>
      <scheme val="minor"/>
    </font>
    <font>
      <b/>
      <sz val="10"/>
      <color theme="1"/>
      <name val="Calibri"/>
      <family val="2"/>
    </font>
    <font>
      <b/>
      <sz val="13"/>
      <color theme="0"/>
      <name val="Calibri"/>
      <family val="2"/>
      <scheme val="minor"/>
    </font>
    <font>
      <sz val="10"/>
      <color rgb="FF000000"/>
      <name val="Calibri"/>
      <family val="2"/>
    </font>
    <font>
      <sz val="10"/>
      <color theme="1"/>
      <name val="Calibri"/>
      <family val="2"/>
    </font>
    <font>
      <u/>
      <sz val="10"/>
      <color theme="10"/>
      <name val="Calibri"/>
      <family val="2"/>
      <scheme val="minor"/>
    </font>
    <font>
      <u/>
      <sz val="10"/>
      <color theme="11"/>
      <name val="Calibri"/>
      <family val="2"/>
      <scheme val="minor"/>
    </font>
    <font>
      <b/>
      <i/>
      <sz val="10"/>
      <color theme="8"/>
      <name val="Calibri"/>
      <family val="2"/>
    </font>
    <font>
      <b/>
      <sz val="10"/>
      <color theme="1"/>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0"/>
      <color theme="8"/>
      <name val="Calibri"/>
      <family val="2"/>
      <scheme val="minor"/>
    </font>
    <font>
      <b/>
      <i/>
      <sz val="10"/>
      <color theme="8"/>
      <name val="Calibri"/>
      <family val="2"/>
      <scheme val="minor"/>
    </font>
    <font>
      <b/>
      <sz val="20"/>
      <color rgb="FF002D56"/>
      <name val="Arial"/>
      <family val="2"/>
    </font>
    <font>
      <strike/>
      <sz val="10"/>
      <color theme="1"/>
      <name val="Calibri"/>
      <family val="2"/>
      <scheme val="minor"/>
    </font>
    <font>
      <b/>
      <sz val="10"/>
      <color theme="8"/>
      <name val="Calibri"/>
      <family val="2"/>
    </font>
    <font>
      <b/>
      <sz val="14"/>
      <color theme="0"/>
      <name val="Calibri"/>
      <family val="2"/>
      <scheme val="minor"/>
    </font>
    <font>
      <b/>
      <sz val="18"/>
      <color theme="0"/>
      <name val="Calibri"/>
      <family val="2"/>
      <scheme val="minor"/>
    </font>
    <font>
      <sz val="10.5"/>
      <color theme="1"/>
      <name val="Calibri"/>
      <family val="2"/>
      <scheme val="minor"/>
    </font>
    <font>
      <sz val="11"/>
      <color theme="1"/>
      <name val="Calibri Light"/>
      <family val="2"/>
      <scheme val="major"/>
    </font>
    <font>
      <b/>
      <vertAlign val="subscript"/>
      <sz val="11"/>
      <color theme="1"/>
      <name val="Calibri"/>
      <family val="2"/>
      <scheme val="minor"/>
    </font>
    <font>
      <b/>
      <sz val="10.5"/>
      <color theme="1"/>
      <name val="Calibri"/>
      <family val="2"/>
      <scheme val="minor"/>
    </font>
    <font>
      <b/>
      <sz val="11"/>
      <color theme="1"/>
      <name val="Calibri Light"/>
      <family val="2"/>
      <scheme val="major"/>
    </font>
    <font>
      <b/>
      <sz val="9"/>
      <color indexed="81"/>
      <name val="Tahoma"/>
      <family val="2"/>
    </font>
    <font>
      <sz val="9"/>
      <color indexed="81"/>
      <name val="Tahoma"/>
      <charset val="1"/>
    </font>
    <font>
      <b/>
      <sz val="9"/>
      <color indexed="81"/>
      <name val="Tahoma"/>
      <charset val="1"/>
    </font>
    <font>
      <b/>
      <sz val="8"/>
      <color indexed="81"/>
      <name val="Tahoma"/>
      <family val="2"/>
    </font>
    <font>
      <sz val="8"/>
      <color indexed="81"/>
      <name val="Tahoma"/>
      <family val="2"/>
    </font>
  </fonts>
  <fills count="29">
    <fill>
      <patternFill patternType="none"/>
    </fill>
    <fill>
      <patternFill patternType="gray125"/>
    </fill>
    <fill>
      <patternFill patternType="solid">
        <fgColor theme="0" tint="-0.14999847407452621"/>
        <bgColor indexed="64"/>
      </patternFill>
    </fill>
    <fill>
      <patternFill patternType="solid">
        <fgColor rgb="FF003C71"/>
        <bgColor indexed="64"/>
      </patternFill>
    </fill>
    <fill>
      <patternFill patternType="solid">
        <fgColor theme="0" tint="-4.9989318521683403E-2"/>
        <bgColor indexed="64"/>
      </patternFill>
    </fill>
    <fill>
      <patternFill patternType="solid">
        <fgColor rgb="FFF2F2F2"/>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FFFCC"/>
      </patternFill>
    </fill>
    <fill>
      <patternFill patternType="solid">
        <fgColor rgb="FF002D56"/>
        <bgColor indexed="64"/>
      </patternFill>
    </fill>
    <fill>
      <patternFill patternType="solid">
        <fgColor rgb="FFC00000"/>
        <bgColor indexed="64"/>
      </patternFill>
    </fill>
    <fill>
      <patternFill patternType="solid">
        <fgColor theme="2"/>
        <bgColor indexed="64"/>
      </patternFill>
    </fill>
    <fill>
      <patternFill patternType="solid">
        <fgColor rgb="FFA5A5A5"/>
      </patternFill>
    </fill>
    <fill>
      <patternFill patternType="solid">
        <fgColor theme="4" tint="0.79998168889431442"/>
        <bgColor indexed="65"/>
      </patternFill>
    </fill>
    <fill>
      <patternFill patternType="solid">
        <fgColor theme="6"/>
        <bgColor indexed="64"/>
      </patternFill>
    </fill>
    <fill>
      <patternFill patternType="solid">
        <fgColor theme="8"/>
        <bgColor indexed="64"/>
      </patternFill>
    </fill>
    <fill>
      <patternFill patternType="solid">
        <fgColor theme="3"/>
        <bgColor indexed="64"/>
      </patternFill>
    </fill>
    <fill>
      <patternFill patternType="solid">
        <fgColor rgb="FF8DC63F"/>
        <bgColor indexed="64"/>
      </patternFill>
    </fill>
    <fill>
      <patternFill patternType="solid">
        <fgColor rgb="FFFF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rgb="FFED1653"/>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auto="1"/>
      </left>
      <right style="thin">
        <color auto="1"/>
      </right>
      <top/>
      <bottom style="thin">
        <color auto="1"/>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ck">
        <color auto="1"/>
      </left>
      <right style="thick">
        <color auto="1"/>
      </right>
      <top style="thick">
        <color auto="1"/>
      </top>
      <bottom style="thick">
        <color auto="1"/>
      </bottom>
      <diagonal/>
    </border>
    <border>
      <left style="thin">
        <color rgb="FFC00000"/>
      </left>
      <right style="thin">
        <color rgb="FFC00000"/>
      </right>
      <top style="thin">
        <color rgb="FFC00000"/>
      </top>
      <bottom style="thin">
        <color rgb="FFC00000"/>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bottom style="thin">
        <color theme="3"/>
      </bottom>
      <diagonal/>
    </border>
    <border>
      <left style="thin">
        <color rgb="FFC00000"/>
      </left>
      <right style="thin">
        <color rgb="FFC00000"/>
      </right>
      <top style="thin">
        <color rgb="FFC00000"/>
      </top>
      <bottom/>
      <diagonal/>
    </border>
    <border>
      <left style="thin">
        <color auto="1"/>
      </left>
      <right style="thin">
        <color auto="1"/>
      </right>
      <top/>
      <bottom style="thin">
        <color rgb="FF000000"/>
      </bottom>
      <diagonal/>
    </border>
    <border>
      <left style="medium">
        <color rgb="FF7F7F7F"/>
      </left>
      <right style="medium">
        <color rgb="FF7F7F7F"/>
      </right>
      <top style="medium">
        <color rgb="FF7F7F7F"/>
      </top>
      <bottom style="medium">
        <color rgb="FF7F7F7F"/>
      </bottom>
      <diagonal/>
    </border>
    <border>
      <left/>
      <right style="medium">
        <color rgb="FF7F7F7F"/>
      </right>
      <top style="medium">
        <color rgb="FF7F7F7F"/>
      </top>
      <bottom style="medium">
        <color rgb="FF7F7F7F"/>
      </bottom>
      <diagonal/>
    </border>
    <border>
      <left style="medium">
        <color rgb="FF7F7F7F"/>
      </left>
      <right style="medium">
        <color rgb="FF7F7F7F"/>
      </right>
      <top/>
      <bottom style="medium">
        <color rgb="FF7F7F7F"/>
      </bottom>
      <diagonal/>
    </border>
    <border>
      <left/>
      <right style="medium">
        <color rgb="FF7F7F7F"/>
      </right>
      <top/>
      <bottom style="medium">
        <color rgb="FF7F7F7F"/>
      </bottom>
      <diagonal/>
    </border>
    <border>
      <left style="medium">
        <color indexed="64"/>
      </left>
      <right style="medium">
        <color rgb="FF7F7F7F"/>
      </right>
      <top style="medium">
        <color indexed="64"/>
      </top>
      <bottom/>
      <diagonal/>
    </border>
    <border>
      <left style="medium">
        <color rgb="FF7F7F7F"/>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rgb="FF7F7F7F"/>
      </bottom>
      <diagonal/>
    </border>
    <border>
      <left style="medium">
        <color indexed="64"/>
      </left>
      <right style="medium">
        <color rgb="FF7F7F7F"/>
      </right>
      <top/>
      <bottom style="medium">
        <color rgb="FF7F7F7F"/>
      </bottom>
      <diagonal/>
    </border>
    <border>
      <left style="medium">
        <color rgb="FF7F7F7F"/>
      </left>
      <right/>
      <top/>
      <bottom style="medium">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rgb="FF7F7F7F"/>
      </bottom>
      <diagonal/>
    </border>
    <border>
      <left style="medium">
        <color indexed="64"/>
      </left>
      <right style="medium">
        <color rgb="FF7F7F7F"/>
      </right>
      <top style="medium">
        <color rgb="FF7F7F7F"/>
      </top>
      <bottom/>
      <diagonal/>
    </border>
    <border>
      <left/>
      <right/>
      <top/>
      <bottom style="medium">
        <color rgb="FF7F7F7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rgb="FF7F7F7F"/>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rgb="FF7F7F7F"/>
      </right>
      <top/>
      <bottom style="medium">
        <color indexed="64"/>
      </bottom>
      <diagonal/>
    </border>
    <border>
      <left/>
      <right style="medium">
        <color indexed="64"/>
      </right>
      <top/>
      <bottom style="medium">
        <color indexed="64"/>
      </bottom>
      <diagonal/>
    </border>
    <border>
      <left style="medium">
        <color rgb="FF7F7F7F"/>
      </left>
      <right style="medium">
        <color rgb="FF7F7F7F"/>
      </right>
      <top style="medium">
        <color rgb="FF7F7F7F"/>
      </top>
      <bottom/>
      <diagonal/>
    </border>
    <border>
      <left style="medium">
        <color rgb="FF7F7F7F"/>
      </left>
      <right/>
      <top style="medium">
        <color rgb="FF7F7F7F"/>
      </top>
      <bottom/>
      <diagonal/>
    </border>
    <border>
      <left/>
      <right/>
      <top style="medium">
        <color rgb="FF7F7F7F"/>
      </top>
      <bottom style="medium">
        <color rgb="FF7F7F7F"/>
      </bottom>
      <diagonal/>
    </border>
    <border>
      <left style="medium">
        <color rgb="FF7F7F7F"/>
      </left>
      <right style="medium">
        <color rgb="FF7F7F7F"/>
      </right>
      <top/>
      <bottom/>
      <diagonal/>
    </border>
    <border>
      <left style="medium">
        <color rgb="FF7F7F7F"/>
      </left>
      <right/>
      <top style="medium">
        <color rgb="FF7F7F7F"/>
      </top>
      <bottom style="medium">
        <color rgb="FF7F7F7F"/>
      </bottom>
      <diagonal/>
    </border>
  </borders>
  <cellStyleXfs count="40">
    <xf numFmtId="0" fontId="0" fillId="0" borderId="0"/>
    <xf numFmtId="0" fontId="34" fillId="0" borderId="0" applyNumberFormat="0" applyFill="0" applyBorder="0" applyAlignment="0" applyProtection="0"/>
    <xf numFmtId="0" fontId="30" fillId="18" borderId="1" applyNumberFormat="0">
      <alignment horizontal="left" vertical="center" wrapText="1"/>
    </xf>
    <xf numFmtId="0" fontId="32" fillId="24" borderId="1" applyNumberFormat="0">
      <alignment horizontal="left" vertical="center" wrapText="1"/>
      <protection locked="0"/>
    </xf>
    <xf numFmtId="9" fontId="4" fillId="0" borderId="0" applyFon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xf numFmtId="0" fontId="23" fillId="0" borderId="16" applyNumberFormat="0" applyFill="0" applyAlignment="0" applyProtection="0"/>
    <xf numFmtId="0" fontId="24" fillId="0" borderId="17" applyNumberFormat="0" applyFill="0" applyAlignment="0" applyProtection="0"/>
    <xf numFmtId="0" fontId="25" fillId="0" borderId="18" applyNumberFormat="0" applyFill="0" applyAlignment="0" applyProtection="0"/>
    <xf numFmtId="0" fontId="25" fillId="0" borderId="0" applyNumberFormat="0" applyFill="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5" fillId="14" borderId="5" applyNumberFormat="0" applyAlignment="0" applyProtection="0"/>
    <xf numFmtId="0" fontId="4" fillId="15" borderId="19" applyNumberFormat="0" applyFont="0" applyAlignment="0" applyProtection="0"/>
    <xf numFmtId="0" fontId="20" fillId="0" borderId="20" applyNumberFormat="0" applyFill="0" applyAlignment="0" applyProtection="0"/>
    <xf numFmtId="0" fontId="29" fillId="16" borderId="1" applyNumberFormat="0" applyAlignment="0" applyProtection="0">
      <alignment horizontal="left" vertical="center"/>
    </xf>
    <xf numFmtId="0" fontId="33" fillId="18" borderId="1" applyNumberFormat="0">
      <alignment vertical="center" wrapText="1"/>
    </xf>
    <xf numFmtId="0" fontId="11" fillId="21" borderId="1">
      <alignment horizontal="centerContinuous" vertical="center" wrapText="1"/>
    </xf>
    <xf numFmtId="0" fontId="31" fillId="10" borderId="1">
      <alignment horizontal="centerContinuous" vertical="center" wrapText="1"/>
    </xf>
    <xf numFmtId="0" fontId="11" fillId="10" borderId="1">
      <alignment horizontal="centerContinuous" vertical="center" wrapText="1"/>
    </xf>
    <xf numFmtId="0" fontId="48" fillId="21" borderId="0">
      <alignment horizontal="centerContinuous" vertical="center" wrapText="1"/>
    </xf>
    <xf numFmtId="0" fontId="11" fillId="16" borderId="1">
      <alignment horizontal="center" vertical="center" wrapText="1"/>
    </xf>
    <xf numFmtId="0" fontId="33" fillId="0" borderId="1" applyNumberFormat="0">
      <alignment horizontal="left" vertical="center" wrapText="1"/>
    </xf>
    <xf numFmtId="0" fontId="19" fillId="17" borderId="0" applyNumberFormat="0" applyAlignment="0">
      <alignment horizontal="center" vertical="center"/>
    </xf>
    <xf numFmtId="0" fontId="11" fillId="17" borderId="22">
      <alignment horizontal="left" wrapText="1"/>
    </xf>
    <xf numFmtId="0" fontId="12" fillId="0" borderId="23" applyNumberFormat="0"/>
    <xf numFmtId="0" fontId="38" fillId="5" borderId="24" applyNumberFormat="0" applyAlignment="0" applyProtection="0"/>
    <xf numFmtId="0" fontId="39" fillId="19" borderId="2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 fillId="20" borderId="0" applyNumberFormat="0" applyBorder="0" applyAlignment="0" applyProtection="0"/>
    <xf numFmtId="0" fontId="39" fillId="21" borderId="0">
      <alignment horizontal="centerContinuous"/>
    </xf>
    <xf numFmtId="0" fontId="29" fillId="10" borderId="1">
      <alignment horizontal="centerContinuous" vertical="center" wrapText="1"/>
    </xf>
    <xf numFmtId="0" fontId="11" fillId="22" borderId="1">
      <alignment horizontal="center" vertical="center" wrapText="1"/>
    </xf>
    <xf numFmtId="0" fontId="11" fillId="22" borderId="1">
      <alignment horizontal="center" vertical="center" wrapText="1"/>
    </xf>
    <xf numFmtId="44" fontId="12" fillId="0" borderId="0" applyFont="0" applyFill="0" applyBorder="0" applyAlignment="0" applyProtection="0"/>
    <xf numFmtId="9" fontId="2" fillId="0" borderId="0" applyFont="0" applyFill="0" applyBorder="0" applyAlignment="0" applyProtection="0"/>
    <xf numFmtId="0" fontId="1" fillId="0" borderId="0"/>
  </cellStyleXfs>
  <cellXfs count="321">
    <xf numFmtId="0" fontId="0" fillId="0" borderId="0" xfId="0"/>
    <xf numFmtId="0" fontId="6" fillId="0" borderId="0" xfId="0" applyFont="1" applyAlignment="1">
      <alignment horizontal="left" wrapText="1" indent="1"/>
    </xf>
    <xf numFmtId="0" fontId="0" fillId="2" borderId="1" xfId="0"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1" xfId="0" applyBorder="1"/>
    <xf numFmtId="0" fontId="0" fillId="2" borderId="1" xfId="0" applyFill="1" applyBorder="1"/>
    <xf numFmtId="0" fontId="6" fillId="0" borderId="0" xfId="0" applyFont="1" applyAlignment="1">
      <alignment horizontal="left" wrapText="1"/>
    </xf>
    <xf numFmtId="0" fontId="14" fillId="0" borderId="0" xfId="0" applyFont="1" applyAlignment="1">
      <alignment horizontal="center" vertical="center" wrapText="1"/>
    </xf>
    <xf numFmtId="0" fontId="15" fillId="0" borderId="0" xfId="0" applyFont="1" applyAlignment="1">
      <alignment horizontal="left" vertical="center" wrapText="1"/>
    </xf>
    <xf numFmtId="0" fontId="0" fillId="0" borderId="0" xfId="0" applyAlignment="1">
      <alignment wrapText="1"/>
    </xf>
    <xf numFmtId="165" fontId="6" fillId="0" borderId="0" xfId="0" applyNumberFormat="1" applyFont="1" applyAlignment="1">
      <alignment horizontal="left" wrapText="1"/>
    </xf>
    <xf numFmtId="0" fontId="0" fillId="7" borderId="1" xfId="0" applyFill="1" applyBorder="1"/>
    <xf numFmtId="0" fontId="0" fillId="7" borderId="4" xfId="0" applyFill="1" applyBorder="1"/>
    <xf numFmtId="3" fontId="0" fillId="7" borderId="1" xfId="0" applyNumberFormat="1" applyFill="1" applyBorder="1"/>
    <xf numFmtId="0" fontId="16" fillId="0" borderId="0" xfId="0" applyFont="1" applyAlignment="1">
      <alignment horizontal="left" vertical="center" wrapText="1"/>
    </xf>
    <xf numFmtId="0" fontId="0" fillId="0" borderId="0" xfId="0" applyAlignment="1">
      <alignment vertical="center" wrapText="1"/>
    </xf>
    <xf numFmtId="0" fontId="0" fillId="0" borderId="1" xfId="0" applyBorder="1" applyAlignment="1">
      <alignment horizontal="center" vertical="center"/>
    </xf>
    <xf numFmtId="0" fontId="18" fillId="0" borderId="0" xfId="0" applyFont="1"/>
    <xf numFmtId="0" fontId="0" fillId="8" borderId="1" xfId="0" applyFill="1" applyBorder="1" applyAlignment="1">
      <alignment horizontal="center" vertical="center"/>
    </xf>
    <xf numFmtId="3" fontId="0" fillId="8" borderId="1" xfId="0" applyNumberFormat="1"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vertical="center"/>
    </xf>
    <xf numFmtId="9" fontId="0" fillId="0" borderId="1" xfId="4" applyFont="1" applyBorder="1" applyAlignment="1">
      <alignment horizontal="center" vertical="center"/>
    </xf>
    <xf numFmtId="0" fontId="0" fillId="0" borderId="1" xfId="0" applyBorder="1" applyAlignment="1">
      <alignment horizontal="left" vertical="center"/>
    </xf>
    <xf numFmtId="0" fontId="0" fillId="0" borderId="0" xfId="0" applyAlignment="1">
      <alignment horizontal="center" vertical="center" wrapText="1"/>
    </xf>
    <xf numFmtId="9" fontId="8" fillId="2" borderId="1" xfId="4" applyFont="1" applyFill="1" applyBorder="1" applyAlignment="1">
      <alignment horizontal="center" vertical="center"/>
    </xf>
    <xf numFmtId="0" fontId="8" fillId="2" borderId="1" xfId="0" applyFont="1" applyFill="1" applyBorder="1" applyAlignment="1">
      <alignment horizontal="center" vertical="center"/>
    </xf>
    <xf numFmtId="164" fontId="0" fillId="0" borderId="1" xfId="4" applyNumberFormat="1" applyFont="1" applyBorder="1" applyAlignment="1">
      <alignment horizontal="center" vertical="center"/>
    </xf>
    <xf numFmtId="166" fontId="0" fillId="7" borderId="4" xfId="0" applyNumberFormat="1" applyFill="1" applyBorder="1"/>
    <xf numFmtId="0" fontId="0" fillId="6" borderId="2" xfId="0" applyFill="1" applyBorder="1"/>
    <xf numFmtId="3" fontId="0" fillId="6" borderId="2" xfId="0" applyNumberFormat="1" applyFill="1" applyBorder="1"/>
    <xf numFmtId="0" fontId="0" fillId="6" borderId="9" xfId="0" applyFill="1" applyBorder="1"/>
    <xf numFmtId="0" fontId="10" fillId="0" borderId="0" xfId="0" applyFont="1" applyAlignment="1">
      <alignment horizontal="left" vertical="center" wrapText="1" indent="1"/>
    </xf>
    <xf numFmtId="165" fontId="0" fillId="0" borderId="0" xfId="0" applyNumberFormat="1"/>
    <xf numFmtId="0" fontId="6" fillId="0" borderId="0" xfId="0" applyFont="1" applyAlignment="1">
      <alignment horizontal="left" vertical="center" wrapText="1" indent="1"/>
    </xf>
    <xf numFmtId="164" fontId="0" fillId="0" borderId="0" xfId="0" applyNumberFormat="1"/>
    <xf numFmtId="0" fontId="0" fillId="9" borderId="1" xfId="0" applyFill="1" applyBorder="1"/>
    <xf numFmtId="0" fontId="0" fillId="9" borderId="4" xfId="0" applyFill="1" applyBorder="1"/>
    <xf numFmtId="166" fontId="0" fillId="9" borderId="4" xfId="0" applyNumberFormat="1" applyFill="1" applyBorder="1"/>
    <xf numFmtId="2" fontId="0" fillId="9" borderId="3" xfId="0" applyNumberFormat="1" applyFill="1" applyBorder="1"/>
    <xf numFmtId="2" fontId="0" fillId="7" borderId="3" xfId="0" applyNumberFormat="1" applyFill="1" applyBorder="1"/>
    <xf numFmtId="2" fontId="0" fillId="0" borderId="0" xfId="0" applyNumberFormat="1"/>
    <xf numFmtId="2" fontId="0" fillId="9" borderId="1" xfId="0" applyNumberFormat="1" applyFill="1" applyBorder="1"/>
    <xf numFmtId="2" fontId="0" fillId="7" borderId="1" xfId="0" applyNumberFormat="1" applyFill="1" applyBorder="1"/>
    <xf numFmtId="2" fontId="0" fillId="6" borderId="2" xfId="0" applyNumberFormat="1" applyFill="1" applyBorder="1"/>
    <xf numFmtId="0" fontId="0" fillId="0" borderId="0" xfId="0" applyAlignment="1">
      <alignment horizontal="left"/>
    </xf>
    <xf numFmtId="0" fontId="30" fillId="18" borderId="1" xfId="2">
      <alignment horizontal="left" vertical="center" wrapText="1"/>
    </xf>
    <xf numFmtId="0" fontId="21" fillId="0" borderId="0" xfId="0" applyFont="1" applyAlignment="1">
      <alignment horizontal="left" wrapText="1"/>
    </xf>
    <xf numFmtId="0" fontId="32" fillId="24" borderId="1" xfId="3">
      <alignment horizontal="left" vertical="center" wrapText="1"/>
      <protection locked="0"/>
    </xf>
    <xf numFmtId="14" fontId="32" fillId="24" borderId="1" xfId="3" applyNumberFormat="1">
      <alignment horizontal="left" vertical="center" wrapText="1"/>
      <protection locked="0"/>
    </xf>
    <xf numFmtId="3" fontId="32" fillId="24" borderId="1" xfId="3" applyNumberFormat="1">
      <alignment horizontal="left" vertical="center" wrapText="1"/>
      <protection locked="0"/>
    </xf>
    <xf numFmtId="164" fontId="32" fillId="24" borderId="1" xfId="3" applyNumberFormat="1">
      <alignment horizontal="left" vertical="center" wrapText="1"/>
      <protection locked="0"/>
    </xf>
    <xf numFmtId="0" fontId="11" fillId="10" borderId="1" xfId="21">
      <alignment horizontal="centerContinuous" vertical="center" wrapText="1"/>
    </xf>
    <xf numFmtId="0" fontId="11" fillId="21" borderId="1" xfId="19">
      <alignment horizontal="centerContinuous" vertical="center" wrapText="1"/>
    </xf>
    <xf numFmtId="0" fontId="33" fillId="0" borderId="0" xfId="24" applyBorder="1">
      <alignment horizontal="left" vertical="center" wrapText="1"/>
    </xf>
    <xf numFmtId="0" fontId="29" fillId="16" borderId="1" xfId="17" applyAlignment="1"/>
    <xf numFmtId="0" fontId="11" fillId="17" borderId="22" xfId="26">
      <alignment horizontal="left" wrapText="1"/>
    </xf>
    <xf numFmtId="0" fontId="11" fillId="17" borderId="22" xfId="26" applyAlignment="1">
      <alignment horizontal="left"/>
    </xf>
    <xf numFmtId="0" fontId="12" fillId="0" borderId="23" xfId="27"/>
    <xf numFmtId="0" fontId="32" fillId="24" borderId="1" xfId="3" applyAlignment="1">
      <alignment horizontal="center" vertical="center" wrapText="1"/>
      <protection locked="0"/>
    </xf>
    <xf numFmtId="0" fontId="32" fillId="24" borderId="3" xfId="3" applyBorder="1">
      <alignment horizontal="left" vertical="center" wrapText="1"/>
      <protection locked="0"/>
    </xf>
    <xf numFmtId="0" fontId="11" fillId="16" borderId="15" xfId="23" applyBorder="1">
      <alignment horizontal="center" vertical="center" wrapText="1"/>
    </xf>
    <xf numFmtId="0" fontId="11" fillId="16" borderId="10" xfId="17" applyFont="1" applyBorder="1" applyAlignment="1" applyProtection="1">
      <alignment horizontal="center" vertical="center" wrapText="1"/>
    </xf>
    <xf numFmtId="0" fontId="11" fillId="16" borderId="10" xfId="23" applyBorder="1">
      <alignment horizontal="center" vertical="center" wrapText="1"/>
    </xf>
    <xf numFmtId="0" fontId="11" fillId="10" borderId="10" xfId="21" applyBorder="1">
      <alignment horizontal="centerContinuous" vertical="center" wrapText="1"/>
    </xf>
    <xf numFmtId="0" fontId="11" fillId="16" borderId="8" xfId="23" applyBorder="1">
      <alignment horizontal="center" vertical="center" wrapText="1"/>
    </xf>
    <xf numFmtId="0" fontId="48" fillId="21" borderId="0" xfId="22" applyAlignment="1">
      <alignment horizontal="left" vertical="center" wrapText="1"/>
    </xf>
    <xf numFmtId="0" fontId="0" fillId="0" borderId="14" xfId="0" applyBorder="1" applyAlignment="1">
      <alignment horizontal="left" wrapText="1"/>
    </xf>
    <xf numFmtId="0" fontId="33" fillId="18" borderId="1" xfId="18" applyAlignment="1">
      <alignment horizontal="center" vertical="center" wrapText="1"/>
    </xf>
    <xf numFmtId="0" fontId="45" fillId="0" borderId="0" xfId="0" applyFont="1"/>
    <xf numFmtId="0" fontId="33" fillId="18" borderId="4" xfId="18" applyBorder="1" applyAlignment="1">
      <alignment horizontal="center" vertical="center" wrapText="1"/>
    </xf>
    <xf numFmtId="3" fontId="32" fillId="24" borderId="1" xfId="3" applyNumberFormat="1" applyAlignment="1">
      <alignment horizontal="center" vertical="center" wrapText="1"/>
      <protection locked="0"/>
    </xf>
    <xf numFmtId="165" fontId="32" fillId="24" borderId="1" xfId="3" applyNumberFormat="1" applyAlignment="1">
      <alignment horizontal="center" vertical="center" wrapText="1"/>
      <protection locked="0"/>
    </xf>
    <xf numFmtId="164" fontId="33" fillId="18" borderId="1" xfId="18" applyNumberFormat="1" applyAlignment="1">
      <alignment horizontal="center" vertical="center" wrapText="1"/>
    </xf>
    <xf numFmtId="167" fontId="33" fillId="18" borderId="1" xfId="18" applyNumberFormat="1" applyAlignment="1">
      <alignment horizontal="center" vertical="center" wrapText="1"/>
    </xf>
    <xf numFmtId="0" fontId="37" fillId="0" borderId="0" xfId="0" applyFont="1"/>
    <xf numFmtId="165" fontId="12" fillId="0" borderId="23" xfId="27" applyNumberFormat="1"/>
    <xf numFmtId="0" fontId="37" fillId="18" borderId="1" xfId="0" applyFont="1" applyFill="1" applyBorder="1" applyAlignment="1">
      <alignment horizontal="center" vertical="center" wrapText="1"/>
    </xf>
    <xf numFmtId="0" fontId="11" fillId="21" borderId="1" xfId="0" applyFont="1" applyFill="1" applyBorder="1" applyAlignment="1">
      <alignment horizontal="center" vertical="center" wrapText="1"/>
    </xf>
    <xf numFmtId="0" fontId="11" fillId="23" borderId="1" xfId="0" applyFont="1" applyFill="1" applyBorder="1" applyAlignment="1">
      <alignment horizontal="center" vertical="center" wrapText="1"/>
    </xf>
    <xf numFmtId="168" fontId="33" fillId="18" borderId="1" xfId="18" applyNumberFormat="1" applyAlignment="1">
      <alignment horizontal="center" vertical="center" wrapText="1"/>
    </xf>
    <xf numFmtId="168" fontId="46" fillId="18" borderId="1" xfId="18" applyNumberFormat="1" applyFont="1" applyAlignment="1">
      <alignment horizontal="center" vertical="center" wrapText="1"/>
    </xf>
    <xf numFmtId="167" fontId="46" fillId="18" borderId="1" xfId="18" applyNumberFormat="1" applyFont="1" applyAlignment="1">
      <alignment horizontal="center" vertical="center" wrapText="1"/>
    </xf>
    <xf numFmtId="0" fontId="11" fillId="22" borderId="1" xfId="36">
      <alignment horizontal="center" vertical="center" wrapText="1"/>
    </xf>
    <xf numFmtId="164" fontId="30" fillId="18" borderId="4" xfId="2" applyNumberFormat="1" applyBorder="1" applyAlignment="1">
      <alignment horizontal="center" vertical="center" wrapText="1"/>
    </xf>
    <xf numFmtId="0" fontId="30" fillId="18" borderId="9" xfId="0" applyFont="1" applyFill="1" applyBorder="1" applyAlignment="1">
      <alignment horizontal="center" vertical="center" wrapText="1"/>
    </xf>
    <xf numFmtId="0" fontId="0" fillId="0" borderId="0" xfId="0" applyAlignment="1">
      <alignment horizontal="center" wrapText="1"/>
    </xf>
    <xf numFmtId="165" fontId="0" fillId="0" borderId="0" xfId="0" applyNumberFormat="1" applyAlignment="1">
      <alignment horizontal="center"/>
    </xf>
    <xf numFmtId="9" fontId="0" fillId="0" borderId="0" xfId="4" applyFont="1" applyAlignment="1">
      <alignment horizontal="center"/>
    </xf>
    <xf numFmtId="9" fontId="12" fillId="0" borderId="23" xfId="27" applyNumberFormat="1"/>
    <xf numFmtId="0" fontId="0" fillId="0" borderId="0" xfId="0" applyAlignment="1">
      <alignment horizontal="left" vertical="top" wrapText="1"/>
    </xf>
    <xf numFmtId="0" fontId="0" fillId="0" borderId="0" xfId="0" applyAlignment="1">
      <alignment horizontal="left" wrapText="1"/>
    </xf>
    <xf numFmtId="0" fontId="30" fillId="18" borderId="1" xfId="2" applyAlignment="1">
      <alignment vertical="center" wrapText="1"/>
    </xf>
    <xf numFmtId="49" fontId="32" fillId="24" borderId="1" xfId="3" applyNumberFormat="1">
      <alignment horizontal="left" vertical="center" wrapText="1"/>
      <protection locked="0"/>
    </xf>
    <xf numFmtId="0" fontId="34" fillId="0" borderId="0" xfId="1" applyBorder="1" applyAlignment="1">
      <alignment horizontal="left" vertical="top" wrapText="1"/>
    </xf>
    <xf numFmtId="0" fontId="44" fillId="0" borderId="29" xfId="0" applyFont="1" applyBorder="1" applyAlignment="1">
      <alignment horizontal="left" vertical="center"/>
    </xf>
    <xf numFmtId="0" fontId="0" fillId="0" borderId="29" xfId="0" applyBorder="1"/>
    <xf numFmtId="0" fontId="0" fillId="9" borderId="13" xfId="0" applyFill="1" applyBorder="1"/>
    <xf numFmtId="0" fontId="0" fillId="7" borderId="13" xfId="0" applyFill="1" applyBorder="1"/>
    <xf numFmtId="0" fontId="17" fillId="3" borderId="15" xfId="0" applyFont="1" applyFill="1" applyBorder="1" applyAlignment="1">
      <alignment wrapText="1"/>
    </xf>
    <xf numFmtId="0" fontId="17" fillId="3" borderId="10" xfId="0" applyFont="1" applyFill="1" applyBorder="1" applyAlignment="1">
      <alignment wrapText="1"/>
    </xf>
    <xf numFmtId="0" fontId="17" fillId="3" borderId="8" xfId="0" applyFont="1" applyFill="1" applyBorder="1" applyAlignment="1">
      <alignment wrapText="1"/>
    </xf>
    <xf numFmtId="2" fontId="17" fillId="3" borderId="10" xfId="0" applyNumberFormat="1" applyFont="1" applyFill="1" applyBorder="1" applyAlignment="1">
      <alignment wrapText="1"/>
    </xf>
    <xf numFmtId="0" fontId="17" fillId="3" borderId="14" xfId="0" applyFont="1" applyFill="1" applyBorder="1" applyAlignment="1">
      <alignment wrapText="1"/>
    </xf>
    <xf numFmtId="2" fontId="0" fillId="6" borderId="7" xfId="0" applyNumberFormat="1" applyFill="1" applyBorder="1"/>
    <xf numFmtId="0" fontId="0" fillId="6" borderId="11" xfId="0" applyFill="1" applyBorder="1"/>
    <xf numFmtId="9" fontId="0" fillId="0" borderId="0" xfId="0" applyNumberFormat="1"/>
    <xf numFmtId="0" fontId="12" fillId="0" borderId="30" xfId="27" applyBorder="1"/>
    <xf numFmtId="9" fontId="0" fillId="0" borderId="1" xfId="0" applyNumberFormat="1" applyBorder="1"/>
    <xf numFmtId="4" fontId="0" fillId="0" borderId="0" xfId="0" applyNumberFormat="1"/>
    <xf numFmtId="0" fontId="13" fillId="0" borderId="0" xfId="0" applyFont="1" applyAlignment="1">
      <alignment horizontal="center" vertical="center" wrapText="1"/>
    </xf>
    <xf numFmtId="0" fontId="0" fillId="25" borderId="0" xfId="0" applyFill="1"/>
    <xf numFmtId="0" fontId="0" fillId="25" borderId="0" xfId="0" applyFill="1" applyAlignment="1">
      <alignment vertical="center"/>
    </xf>
    <xf numFmtId="0" fontId="11" fillId="25" borderId="31" xfId="23" applyFill="1" applyBorder="1">
      <alignment horizontal="center" vertical="center" wrapText="1"/>
    </xf>
    <xf numFmtId="0" fontId="33" fillId="25" borderId="1" xfId="18" applyFill="1">
      <alignment vertical="center" wrapText="1"/>
    </xf>
    <xf numFmtId="0" fontId="0" fillId="26" borderId="9" xfId="0" applyFill="1" applyBorder="1"/>
    <xf numFmtId="0" fontId="0" fillId="26" borderId="2" xfId="0" applyFill="1" applyBorder="1"/>
    <xf numFmtId="3" fontId="0" fillId="26" borderId="2" xfId="0" applyNumberFormat="1" applyFill="1" applyBorder="1"/>
    <xf numFmtId="2" fontId="0" fillId="26" borderId="7" xfId="0" applyNumberFormat="1" applyFill="1" applyBorder="1"/>
    <xf numFmtId="2" fontId="0" fillId="26" borderId="2" xfId="0" applyNumberFormat="1" applyFill="1" applyBorder="1"/>
    <xf numFmtId="166" fontId="0" fillId="26" borderId="4" xfId="0" applyNumberFormat="1" applyFill="1" applyBorder="1"/>
    <xf numFmtId="0" fontId="0" fillId="26" borderId="11" xfId="0" applyFill="1" applyBorder="1"/>
    <xf numFmtId="0" fontId="0" fillId="26" borderId="1" xfId="0" applyFill="1" applyBorder="1"/>
    <xf numFmtId="0" fontId="0" fillId="27" borderId="9" xfId="0" applyFill="1" applyBorder="1"/>
    <xf numFmtId="0" fontId="0" fillId="27" borderId="2" xfId="0" applyFill="1" applyBorder="1"/>
    <xf numFmtId="3" fontId="0" fillId="27" borderId="2" xfId="0" applyNumberFormat="1" applyFill="1" applyBorder="1"/>
    <xf numFmtId="2" fontId="0" fillId="27" borderId="7" xfId="0" applyNumberFormat="1" applyFill="1" applyBorder="1"/>
    <xf numFmtId="2" fontId="0" fillId="27" borderId="2" xfId="0" applyNumberFormat="1" applyFill="1" applyBorder="1"/>
    <xf numFmtId="166" fontId="0" fillId="27" borderId="4" xfId="0" applyNumberFormat="1" applyFill="1" applyBorder="1"/>
    <xf numFmtId="0" fontId="0" fillId="27" borderId="11" xfId="0" applyFill="1" applyBorder="1"/>
    <xf numFmtId="0" fontId="0" fillId="8" borderId="9" xfId="0" applyFill="1" applyBorder="1"/>
    <xf numFmtId="0" fontId="0" fillId="8" borderId="2" xfId="0" applyFill="1" applyBorder="1"/>
    <xf numFmtId="3" fontId="0" fillId="8" borderId="2" xfId="0" applyNumberFormat="1" applyFill="1" applyBorder="1"/>
    <xf numFmtId="2" fontId="0" fillId="8" borderId="7" xfId="0" applyNumberFormat="1" applyFill="1" applyBorder="1"/>
    <xf numFmtId="2" fontId="0" fillId="8" borderId="2" xfId="0" applyNumberFormat="1" applyFill="1" applyBorder="1"/>
    <xf numFmtId="166" fontId="0" fillId="8" borderId="4" xfId="0" applyNumberFormat="1" applyFill="1" applyBorder="1"/>
    <xf numFmtId="0" fontId="0" fillId="8" borderId="11" xfId="0" applyFill="1" applyBorder="1"/>
    <xf numFmtId="169" fontId="0" fillId="9" borderId="1" xfId="0" applyNumberFormat="1" applyFill="1" applyBorder="1"/>
    <xf numFmtId="169" fontId="0" fillId="7" borderId="1" xfId="0" applyNumberFormat="1" applyFill="1" applyBorder="1"/>
    <xf numFmtId="169" fontId="0" fillId="6" borderId="2" xfId="0" applyNumberFormat="1" applyFill="1" applyBorder="1"/>
    <xf numFmtId="169" fontId="0" fillId="26" borderId="2" xfId="0" applyNumberFormat="1" applyFill="1" applyBorder="1"/>
    <xf numFmtId="169" fontId="0" fillId="27" borderId="2" xfId="0" applyNumberFormat="1" applyFill="1" applyBorder="1"/>
    <xf numFmtId="169" fontId="0" fillId="8" borderId="2" xfId="0" applyNumberFormat="1" applyFill="1" applyBorder="1"/>
    <xf numFmtId="0" fontId="44" fillId="0" borderId="0" xfId="0" applyFont="1" applyAlignment="1">
      <alignment horizontal="left" vertical="center"/>
    </xf>
    <xf numFmtId="164" fontId="46" fillId="18" borderId="4" xfId="18" applyNumberFormat="1" applyFont="1" applyBorder="1" applyAlignment="1">
      <alignment horizontal="center" vertical="center" wrapText="1"/>
    </xf>
    <xf numFmtId="164" fontId="46" fillId="18" borderId="1" xfId="18" applyNumberFormat="1" applyFont="1" applyAlignment="1">
      <alignment horizontal="center" vertical="center" wrapText="1"/>
    </xf>
    <xf numFmtId="167" fontId="0" fillId="0" borderId="0" xfId="0" applyNumberFormat="1" applyAlignment="1">
      <alignment horizontal="center"/>
    </xf>
    <xf numFmtId="168" fontId="0" fillId="0" borderId="0" xfId="0" applyNumberFormat="1" applyAlignment="1">
      <alignment horizontal="center"/>
    </xf>
    <xf numFmtId="164" fontId="0" fillId="0" borderId="0" xfId="0" applyNumberFormat="1" applyAlignment="1">
      <alignment horizontal="center"/>
    </xf>
    <xf numFmtId="9" fontId="0" fillId="0" borderId="0" xfId="0" applyNumberFormat="1" applyAlignment="1">
      <alignment horizontal="center"/>
    </xf>
    <xf numFmtId="0" fontId="48" fillId="0" borderId="0" xfId="22" applyFill="1" applyAlignment="1">
      <alignment vertical="center" wrapText="1"/>
    </xf>
    <xf numFmtId="0" fontId="48" fillId="0" borderId="0" xfId="22" applyFill="1">
      <alignment horizontal="centerContinuous" vertical="center" wrapText="1"/>
    </xf>
    <xf numFmtId="169" fontId="46" fillId="18" borderId="4" xfId="18" applyNumberFormat="1" applyFont="1" applyBorder="1" applyAlignment="1">
      <alignment horizontal="center" vertical="center" wrapText="1"/>
    </xf>
    <xf numFmtId="167" fontId="46" fillId="18" borderId="4" xfId="18" applyNumberFormat="1" applyFont="1" applyBorder="1" applyAlignment="1">
      <alignment horizontal="center" vertical="center" wrapText="1"/>
    </xf>
    <xf numFmtId="167" fontId="32" fillId="24" borderId="1" xfId="3" applyNumberFormat="1" applyAlignment="1">
      <alignment horizontal="center" vertical="center" wrapText="1"/>
      <protection locked="0"/>
    </xf>
    <xf numFmtId="169" fontId="32" fillId="24" borderId="1" xfId="3" applyNumberFormat="1" applyAlignment="1">
      <alignment horizontal="center" vertical="center" wrapText="1"/>
      <protection locked="0"/>
    </xf>
    <xf numFmtId="164" fontId="32" fillId="24" borderId="1" xfId="3" applyNumberFormat="1" applyAlignment="1">
      <alignment horizontal="center" vertical="center" wrapText="1"/>
      <protection locked="0"/>
    </xf>
    <xf numFmtId="0" fontId="0" fillId="0" borderId="0" xfId="0" applyAlignment="1">
      <alignment horizontal="right"/>
    </xf>
    <xf numFmtId="0" fontId="49" fillId="0" borderId="0" xfId="0" applyFont="1" applyAlignment="1">
      <alignment vertical="center"/>
    </xf>
    <xf numFmtId="0" fontId="50" fillId="0" borderId="0" xfId="0" applyFont="1"/>
    <xf numFmtId="0" fontId="20" fillId="0" borderId="32" xfId="0" applyFont="1" applyBorder="1" applyAlignment="1">
      <alignment vertical="center" wrapText="1"/>
    </xf>
    <xf numFmtId="0" fontId="20" fillId="0" borderId="33" xfId="0" applyFont="1" applyBorder="1" applyAlignment="1">
      <alignment vertical="center" wrapText="1"/>
    </xf>
    <xf numFmtId="0" fontId="0" fillId="0" borderId="34" xfId="0" applyBorder="1" applyAlignment="1">
      <alignment vertical="center" wrapText="1"/>
    </xf>
    <xf numFmtId="3" fontId="0" fillId="0" borderId="35" xfId="0" applyNumberFormat="1" applyBorder="1" applyAlignment="1">
      <alignment vertical="center" wrapText="1"/>
    </xf>
    <xf numFmtId="0" fontId="0" fillId="0" borderId="35" xfId="0" applyBorder="1" applyAlignment="1">
      <alignment vertical="center" wrapText="1"/>
    </xf>
    <xf numFmtId="2" fontId="0" fillId="0" borderId="35" xfId="0" applyNumberFormat="1" applyBorder="1" applyAlignment="1">
      <alignment vertical="center" wrapText="1"/>
    </xf>
    <xf numFmtId="0" fontId="17" fillId="28" borderId="10" xfId="0" applyFont="1" applyFill="1" applyBorder="1" applyAlignment="1">
      <alignment horizontal="centerContinuous"/>
    </xf>
    <xf numFmtId="0" fontId="17" fillId="28" borderId="1" xfId="0" applyFont="1" applyFill="1" applyBorder="1" applyAlignment="1">
      <alignment horizontal="centerContinuous"/>
    </xf>
    <xf numFmtId="0" fontId="0" fillId="28" borderId="1" xfId="0" applyFill="1" applyBorder="1" applyAlignment="1">
      <alignment horizontal="centerContinuous"/>
    </xf>
    <xf numFmtId="0" fontId="17" fillId="28" borderId="1" xfId="0" applyFont="1" applyFill="1" applyBorder="1"/>
    <xf numFmtId="0" fontId="17" fillId="28" borderId="12" xfId="0" applyFont="1" applyFill="1" applyBorder="1"/>
    <xf numFmtId="0" fontId="0" fillId="0" borderId="1" xfId="0" applyBorder="1" applyAlignment="1">
      <alignment vertical="center"/>
    </xf>
    <xf numFmtId="166" fontId="0" fillId="25" borderId="1" xfId="0" applyNumberFormat="1" applyFill="1" applyBorder="1" applyAlignment="1">
      <alignment vertical="center"/>
    </xf>
    <xf numFmtId="0" fontId="0" fillId="25" borderId="1" xfId="0" applyFill="1" applyBorder="1" applyAlignment="1">
      <alignment vertical="center"/>
    </xf>
    <xf numFmtId="0" fontId="50" fillId="0" borderId="1" xfId="0" applyFont="1" applyBorder="1"/>
    <xf numFmtId="0" fontId="50" fillId="25" borderId="1" xfId="0" applyFont="1" applyFill="1" applyBorder="1"/>
    <xf numFmtId="166" fontId="50" fillId="25" borderId="1" xfId="0" applyNumberFormat="1" applyFont="1" applyFill="1" applyBorder="1"/>
    <xf numFmtId="166" fontId="0" fillId="0" borderId="1" xfId="0" applyNumberFormat="1" applyBorder="1"/>
    <xf numFmtId="166" fontId="0" fillId="25" borderId="1" xfId="0" applyNumberFormat="1" applyFill="1" applyBorder="1"/>
    <xf numFmtId="0" fontId="52" fillId="0" borderId="32" xfId="0" applyFont="1" applyBorder="1" applyAlignment="1">
      <alignment vertical="center" wrapText="1"/>
    </xf>
    <xf numFmtId="0" fontId="52" fillId="0" borderId="33" xfId="0" applyFont="1" applyBorder="1" applyAlignment="1">
      <alignment horizontal="center" vertical="center" wrapText="1"/>
    </xf>
    <xf numFmtId="0" fontId="49" fillId="0" borderId="34" xfId="0" applyFont="1" applyBorder="1" applyAlignment="1">
      <alignment vertical="center" wrapText="1"/>
    </xf>
    <xf numFmtId="0" fontId="49" fillId="0" borderId="35" xfId="0" applyFont="1" applyBorder="1" applyAlignment="1">
      <alignment horizontal="center" vertical="center" wrapText="1"/>
    </xf>
    <xf numFmtId="0" fontId="20" fillId="0" borderId="41" xfId="0" applyFont="1" applyBorder="1" applyAlignment="1">
      <alignment horizontal="center" vertical="center"/>
    </xf>
    <xf numFmtId="0" fontId="20" fillId="0" borderId="42" xfId="0" applyFont="1" applyBorder="1" applyAlignment="1">
      <alignment horizontal="center" vertical="center"/>
    </xf>
    <xf numFmtId="0" fontId="20" fillId="0" borderId="35" xfId="0" applyFont="1" applyBorder="1" applyAlignment="1">
      <alignment horizontal="center" vertical="center" wrapText="1"/>
    </xf>
    <xf numFmtId="0" fontId="20" fillId="0" borderId="48" xfId="0" applyFont="1" applyBorder="1" applyAlignment="1">
      <alignment horizontal="center" vertical="center" wrapText="1"/>
    </xf>
    <xf numFmtId="0" fontId="0" fillId="0" borderId="49" xfId="0" applyBorder="1" applyAlignment="1">
      <alignment vertical="center" wrapText="1"/>
    </xf>
    <xf numFmtId="0" fontId="0" fillId="0" borderId="50" xfId="0" applyBorder="1" applyAlignment="1">
      <alignment vertical="center"/>
    </xf>
    <xf numFmtId="0" fontId="0" fillId="0" borderId="51" xfId="0" applyBorder="1" applyAlignment="1">
      <alignment horizontal="center" vertical="center"/>
    </xf>
    <xf numFmtId="0" fontId="0" fillId="0" borderId="52" xfId="0" applyBorder="1" applyAlignment="1">
      <alignment horizontal="center" vertical="center"/>
    </xf>
    <xf numFmtId="0" fontId="53" fillId="0" borderId="52" xfId="0" applyFont="1" applyBorder="1"/>
    <xf numFmtId="0" fontId="53" fillId="0" borderId="53" xfId="0" applyFont="1" applyBorder="1"/>
    <xf numFmtId="0" fontId="0" fillId="0" borderId="35"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vertical="center" wrapText="1"/>
    </xf>
    <xf numFmtId="0" fontId="50" fillId="0" borderId="54" xfId="0" applyFont="1" applyBorder="1"/>
    <xf numFmtId="0" fontId="53" fillId="0" borderId="1" xfId="0" applyFont="1" applyBorder="1"/>
    <xf numFmtId="0" fontId="53" fillId="0" borderId="55" xfId="0" applyFont="1" applyBorder="1"/>
    <xf numFmtId="0" fontId="0" fillId="0" borderId="54" xfId="0" applyBorder="1" applyAlignment="1">
      <alignment horizontal="center" vertical="center"/>
    </xf>
    <xf numFmtId="0" fontId="0" fillId="0" borderId="56" xfId="0" applyBorder="1" applyAlignment="1">
      <alignment vertical="center" wrapText="1"/>
    </xf>
    <xf numFmtId="0" fontId="0" fillId="0" borderId="57" xfId="0" applyBorder="1" applyAlignment="1">
      <alignment vertical="center"/>
    </xf>
    <xf numFmtId="0" fontId="50" fillId="0" borderId="58" xfId="0" applyFont="1" applyBorder="1"/>
    <xf numFmtId="0" fontId="50" fillId="0" borderId="59" xfId="0" applyFont="1" applyBorder="1"/>
    <xf numFmtId="0" fontId="50" fillId="0" borderId="60" xfId="0" applyFont="1" applyBorder="1"/>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vertical="center"/>
    </xf>
    <xf numFmtId="166" fontId="53" fillId="0" borderId="52" xfId="0" applyNumberFormat="1" applyFont="1" applyBorder="1"/>
    <xf numFmtId="169" fontId="53" fillId="0" borderId="53" xfId="0" applyNumberFormat="1" applyFont="1" applyBorder="1"/>
    <xf numFmtId="0" fontId="0" fillId="0" borderId="66" xfId="0" applyBorder="1" applyAlignment="1">
      <alignment vertical="center"/>
    </xf>
    <xf numFmtId="169" fontId="50" fillId="0" borderId="55" xfId="0" applyNumberFormat="1" applyFont="1" applyBorder="1"/>
    <xf numFmtId="0" fontId="0" fillId="0" borderId="34" xfId="0" applyBorder="1" applyAlignment="1">
      <alignment vertical="center"/>
    </xf>
    <xf numFmtId="166" fontId="53" fillId="0" borderId="1" xfId="0" applyNumberFormat="1" applyFont="1" applyBorder="1"/>
    <xf numFmtId="169" fontId="53" fillId="0" borderId="55" xfId="0" applyNumberFormat="1" applyFont="1" applyBorder="1"/>
    <xf numFmtId="0" fontId="0" fillId="0" borderId="6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169" fontId="50" fillId="0" borderId="60" xfId="0" applyNumberFormat="1" applyFont="1" applyBorder="1"/>
    <xf numFmtId="0" fontId="0" fillId="0" borderId="33" xfId="0" applyBorder="1" applyAlignment="1">
      <alignment vertical="center"/>
    </xf>
    <xf numFmtId="0" fontId="50" fillId="0" borderId="55" xfId="0" applyFont="1" applyBorder="1"/>
    <xf numFmtId="0" fontId="0" fillId="0" borderId="58" xfId="0" applyBorder="1" applyAlignment="1">
      <alignment horizontal="center" vertical="center"/>
    </xf>
    <xf numFmtId="0" fontId="0" fillId="0" borderId="59" xfId="0" applyBorder="1" applyAlignment="1">
      <alignment horizontal="center" vertical="center"/>
    </xf>
    <xf numFmtId="166" fontId="0" fillId="0" borderId="0" xfId="0" applyNumberFormat="1"/>
    <xf numFmtId="169" fontId="0" fillId="0" borderId="0" xfId="0" applyNumberFormat="1"/>
    <xf numFmtId="0" fontId="20" fillId="0" borderId="0" xfId="0" applyFont="1" applyAlignment="1">
      <alignment vertical="center" wrapText="1"/>
    </xf>
    <xf numFmtId="2" fontId="0" fillId="0" borderId="0" xfId="0" applyNumberFormat="1" applyAlignment="1">
      <alignment vertical="center" wrapText="1"/>
    </xf>
    <xf numFmtId="0" fontId="20" fillId="0" borderId="46" xfId="0" applyFont="1" applyBorder="1" applyAlignment="1">
      <alignment horizontal="center" vertical="center" wrapText="1"/>
    </xf>
    <xf numFmtId="0" fontId="53" fillId="0" borderId="0" xfId="0" applyFont="1"/>
    <xf numFmtId="164" fontId="33" fillId="0" borderId="1" xfId="24" applyNumberFormat="1" applyAlignment="1" applyProtection="1">
      <alignment horizontal="center" vertical="center" wrapText="1"/>
      <protection hidden="1"/>
    </xf>
    <xf numFmtId="167" fontId="33" fillId="0" borderId="1" xfId="24" applyNumberFormat="1" applyAlignment="1" applyProtection="1">
      <alignment horizontal="center" vertical="center" wrapText="1"/>
      <protection hidden="1"/>
    </xf>
    <xf numFmtId="168" fontId="33" fillId="0" borderId="3" xfId="24" applyNumberFormat="1" applyBorder="1" applyAlignment="1" applyProtection="1">
      <alignment horizontal="center" vertical="center" wrapText="1"/>
      <protection hidden="1"/>
    </xf>
    <xf numFmtId="167" fontId="30" fillId="0" borderId="1" xfId="0" applyNumberFormat="1" applyFont="1" applyBorder="1" applyAlignment="1" applyProtection="1">
      <alignment horizontal="center" vertical="center" wrapText="1"/>
      <protection hidden="1"/>
    </xf>
    <xf numFmtId="168" fontId="30" fillId="0" borderId="3" xfId="0" applyNumberFormat="1" applyFont="1" applyBorder="1" applyAlignment="1" applyProtection="1">
      <alignment horizontal="center" vertical="center" wrapText="1"/>
      <protection hidden="1"/>
    </xf>
    <xf numFmtId="164" fontId="33" fillId="0" borderId="1" xfId="37" applyNumberFormat="1" applyFont="1" applyBorder="1" applyAlignment="1" applyProtection="1">
      <alignment horizontal="center" vertical="center" wrapText="1"/>
      <protection hidden="1"/>
    </xf>
    <xf numFmtId="167" fontId="33" fillId="0" borderId="3" xfId="24" applyNumberFormat="1" applyBorder="1" applyAlignment="1" applyProtection="1">
      <alignment horizontal="center" vertical="center" wrapText="1"/>
      <protection hidden="1"/>
    </xf>
    <xf numFmtId="164" fontId="30" fillId="18" borderId="4" xfId="2" applyNumberFormat="1" applyBorder="1" applyAlignment="1" applyProtection="1">
      <alignment horizontal="center" vertical="center" wrapText="1"/>
      <protection hidden="1"/>
    </xf>
    <xf numFmtId="164" fontId="30" fillId="0" borderId="1" xfId="0" applyNumberFormat="1" applyFont="1" applyBorder="1" applyAlignment="1" applyProtection="1">
      <alignment horizontal="center" vertical="center" wrapText="1"/>
      <protection hidden="1"/>
    </xf>
    <xf numFmtId="167" fontId="30" fillId="0" borderId="3" xfId="0" applyNumberFormat="1" applyFont="1" applyBorder="1" applyAlignment="1" applyProtection="1">
      <alignment horizontal="center" vertical="center" wrapText="1"/>
      <protection hidden="1"/>
    </xf>
    <xf numFmtId="3" fontId="33" fillId="0" borderId="1" xfId="24" applyNumberFormat="1" applyAlignment="1" applyProtection="1">
      <alignment horizontal="center" vertical="center" wrapText="1"/>
      <protection hidden="1"/>
    </xf>
    <xf numFmtId="170" fontId="0" fillId="4" borderId="1" xfId="4" applyNumberFormat="1" applyFont="1" applyFill="1" applyBorder="1" applyAlignment="1">
      <alignment horizontal="center" vertical="center"/>
    </xf>
    <xf numFmtId="169" fontId="12" fillId="0" borderId="23" xfId="27" applyNumberFormat="1"/>
    <xf numFmtId="171" fontId="0" fillId="0" borderId="0" xfId="0" applyNumberFormat="1"/>
    <xf numFmtId="0" fontId="32" fillId="24" borderId="1" xfId="3" applyAlignment="1">
      <alignment horizontal="center" vertical="center" wrapText="1"/>
      <protection locked="0"/>
    </xf>
    <xf numFmtId="0" fontId="1" fillId="2" borderId="1" xfId="39" applyFill="1" applyBorder="1"/>
    <xf numFmtId="0" fontId="1" fillId="0" borderId="0" xfId="39"/>
    <xf numFmtId="0" fontId="1" fillId="0" borderId="1" xfId="39" applyBorder="1"/>
    <xf numFmtId="166" fontId="1" fillId="0" borderId="1" xfId="39" applyNumberFormat="1" applyBorder="1"/>
    <xf numFmtId="0" fontId="1" fillId="0" borderId="1" xfId="39" applyBorder="1" applyAlignment="1">
      <alignment wrapText="1"/>
    </xf>
    <xf numFmtId="14" fontId="1" fillId="0" borderId="1" xfId="39" applyNumberFormat="1" applyBorder="1"/>
    <xf numFmtId="0" fontId="32" fillId="24" borderId="1" xfId="3" applyAlignment="1" applyProtection="1">
      <alignment horizontal="center" vertical="center" wrapText="1"/>
      <protection locked="0"/>
    </xf>
    <xf numFmtId="0" fontId="0" fillId="0" borderId="1" xfId="0" applyFont="1" applyBorder="1" applyAlignment="1">
      <alignment horizontal="left" vertical="center" wrapText="1"/>
    </xf>
    <xf numFmtId="0" fontId="48" fillId="21" borderId="0" xfId="22" applyAlignment="1">
      <alignment horizontal="left" vertical="center" wrapText="1"/>
    </xf>
    <xf numFmtId="0" fontId="29" fillId="16" borderId="1" xfId="17" applyAlignment="1">
      <alignment horizontal="center" vertical="center" wrapText="1"/>
    </xf>
    <xf numFmtId="0" fontId="29" fillId="16" borderId="7" xfId="17" applyBorder="1" applyAlignment="1">
      <alignment horizontal="center"/>
    </xf>
    <xf numFmtId="0" fontId="29" fillId="16" borderId="11" xfId="17" applyBorder="1" applyAlignment="1">
      <alignment horizontal="center"/>
    </xf>
    <xf numFmtId="0" fontId="29" fillId="16" borderId="9" xfId="17" applyBorder="1" applyAlignment="1">
      <alignment horizontal="center"/>
    </xf>
    <xf numFmtId="0" fontId="0" fillId="0" borderId="14"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9"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8" xfId="0" applyBorder="1" applyAlignment="1">
      <alignment horizontal="left" vertical="top" wrapText="1"/>
    </xf>
    <xf numFmtId="0" fontId="0" fillId="0" borderId="15" xfId="0" applyBorder="1" applyAlignment="1">
      <alignment horizontal="left" vertical="top" wrapText="1"/>
    </xf>
    <xf numFmtId="0" fontId="0" fillId="0" borderId="3" xfId="0" applyBorder="1" applyAlignment="1">
      <alignment horizontal="left" vertical="top" wrapText="1"/>
    </xf>
    <xf numFmtId="0" fontId="0" fillId="0" borderId="13"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center"/>
    </xf>
    <xf numFmtId="0" fontId="0" fillId="0" borderId="13" xfId="0" applyBorder="1" applyAlignment="1">
      <alignment horizontal="left" vertical="center"/>
    </xf>
    <xf numFmtId="0" fontId="0" fillId="0" borderId="4" xfId="0" applyBorder="1" applyAlignment="1">
      <alignment horizontal="left" vertical="center"/>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13" xfId="0" applyBorder="1" applyAlignment="1">
      <alignment horizontal="left" vertical="center" wrapText="1"/>
    </xf>
    <xf numFmtId="0" fontId="0" fillId="0" borderId="4" xfId="0" applyBorder="1" applyAlignment="1">
      <alignment horizontal="left" vertical="center" wrapText="1"/>
    </xf>
    <xf numFmtId="0" fontId="29" fillId="16" borderId="3" xfId="17" applyBorder="1" applyAlignment="1">
      <alignment horizontal="center" vertical="center" wrapText="1"/>
    </xf>
    <xf numFmtId="0" fontId="29" fillId="16" borderId="4" xfId="17" applyBorder="1" applyAlignment="1">
      <alignment horizontal="center" vertical="center" wrapText="1"/>
    </xf>
    <xf numFmtId="0" fontId="30" fillId="18" borderId="1" xfId="2" applyAlignment="1">
      <alignment horizontal="left" vertical="center" wrapText="1"/>
    </xf>
    <xf numFmtId="0" fontId="32" fillId="24" borderId="1" xfId="3" applyAlignment="1">
      <alignment horizontal="center" vertical="center" wrapText="1"/>
      <protection locked="0"/>
    </xf>
    <xf numFmtId="0" fontId="11" fillId="10" borderId="1" xfId="21" applyAlignment="1">
      <alignment horizontal="center" vertical="center" wrapText="1"/>
    </xf>
    <xf numFmtId="0" fontId="11" fillId="10" borderId="3" xfId="21" applyBorder="1" applyAlignment="1">
      <alignment horizontal="center" vertical="center" wrapText="1"/>
    </xf>
    <xf numFmtId="0" fontId="11" fillId="10" borderId="13" xfId="21" applyBorder="1" applyAlignment="1">
      <alignment horizontal="center" vertical="center" wrapText="1"/>
    </xf>
    <xf numFmtId="0" fontId="11" fillId="10" borderId="4" xfId="21" applyBorder="1" applyAlignment="1">
      <alignment horizontal="center" vertical="center" wrapText="1"/>
    </xf>
    <xf numFmtId="0" fontId="11" fillId="21" borderId="1" xfId="19" applyAlignment="1">
      <alignment horizontal="center" vertical="center" wrapText="1"/>
    </xf>
    <xf numFmtId="0" fontId="47" fillId="16" borderId="1" xfId="17" applyFont="1" applyAlignment="1">
      <alignment horizontal="center" vertical="center" wrapText="1"/>
    </xf>
    <xf numFmtId="0" fontId="37" fillId="0" borderId="0" xfId="0" applyFont="1" applyAlignment="1">
      <alignment horizontal="left" wrapText="1"/>
    </xf>
    <xf numFmtId="0" fontId="29" fillId="16" borderId="14" xfId="17" applyBorder="1" applyAlignment="1">
      <alignment horizontal="center"/>
    </xf>
    <xf numFmtId="0" fontId="29" fillId="16" borderId="3" xfId="17" applyBorder="1" applyAlignment="1">
      <alignment horizontal="center"/>
    </xf>
    <xf numFmtId="0" fontId="29" fillId="16" borderId="13" xfId="17" applyBorder="1" applyAlignment="1">
      <alignment horizontal="center"/>
    </xf>
    <xf numFmtId="0" fontId="29" fillId="16" borderId="6" xfId="17" applyBorder="1" applyAlignment="1">
      <alignment horizontal="center"/>
    </xf>
    <xf numFmtId="0" fontId="29" fillId="16" borderId="0" xfId="17" applyBorder="1" applyAlignment="1">
      <alignment horizontal="center"/>
    </xf>
    <xf numFmtId="0" fontId="33" fillId="0" borderId="1" xfId="24" applyAlignment="1" applyProtection="1">
      <alignment horizontal="left" vertical="center" wrapText="1"/>
      <protection hidden="1"/>
    </xf>
    <xf numFmtId="0" fontId="11" fillId="16" borderId="1" xfId="23" applyAlignment="1">
      <alignment horizontal="center" vertical="center" wrapText="1"/>
    </xf>
    <xf numFmtId="14" fontId="32" fillId="24" borderId="1" xfId="3" applyNumberFormat="1" applyAlignment="1">
      <alignment horizontal="left" vertical="center" wrapText="1"/>
      <protection locked="0"/>
    </xf>
    <xf numFmtId="0" fontId="30" fillId="18" borderId="1" xfId="2" applyAlignment="1">
      <alignment vertical="center" wrapText="1"/>
    </xf>
    <xf numFmtId="49" fontId="32" fillId="24" borderId="1" xfId="3" applyNumberFormat="1" applyAlignment="1">
      <alignment horizontal="left" vertical="center" wrapText="1"/>
      <protection locked="0"/>
    </xf>
    <xf numFmtId="0" fontId="33" fillId="0" borderId="0" xfId="24" applyBorder="1" applyAlignment="1">
      <alignment horizontal="left" vertical="center" wrapText="1"/>
    </xf>
    <xf numFmtId="0" fontId="29" fillId="16" borderId="1" xfId="17" applyAlignment="1">
      <alignment horizontal="center"/>
    </xf>
    <xf numFmtId="0" fontId="36" fillId="0" borderId="0" xfId="24" applyFont="1" applyBorder="1" applyAlignment="1">
      <alignment horizontal="left" vertical="center" wrapText="1"/>
    </xf>
    <xf numFmtId="0" fontId="20" fillId="0" borderId="63" xfId="0" applyFont="1" applyBorder="1" applyAlignment="1">
      <alignment vertical="center"/>
    </xf>
    <xf numFmtId="0" fontId="20" fillId="0" borderId="34" xfId="0" applyFont="1" applyBorder="1" applyAlignment="1">
      <alignment vertical="center"/>
    </xf>
    <xf numFmtId="0" fontId="20" fillId="0" borderId="64" xfId="0" applyFont="1" applyBorder="1" applyAlignment="1">
      <alignment vertical="center"/>
    </xf>
    <xf numFmtId="0" fontId="20" fillId="0" borderId="44" xfId="0" applyFont="1" applyBorder="1" applyAlignment="1">
      <alignment vertical="center"/>
    </xf>
    <xf numFmtId="0" fontId="20" fillId="0" borderId="38" xfId="0" applyFont="1" applyBorder="1" applyAlignment="1">
      <alignment horizontal="center" vertical="center"/>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20" fillId="0" borderId="65" xfId="0" applyFont="1" applyBorder="1" applyAlignment="1">
      <alignment horizontal="center" vertical="center"/>
    </xf>
    <xf numFmtId="0" fontId="20" fillId="0" borderId="33" xfId="0" applyFont="1" applyBorder="1" applyAlignment="1">
      <alignment horizontal="center" vertical="center"/>
    </xf>
    <xf numFmtId="0" fontId="20" fillId="0" borderId="45" xfId="0" applyFont="1" applyBorder="1" applyAlignment="1">
      <alignment horizontal="center" vertical="center" wrapText="1"/>
    </xf>
    <xf numFmtId="0" fontId="20" fillId="0" borderId="47" xfId="0" applyFont="1" applyBorder="1" applyAlignment="1">
      <alignment horizontal="center" vertical="center" wrapText="1"/>
    </xf>
    <xf numFmtId="0" fontId="11" fillId="17" borderId="26" xfId="26" applyBorder="1" applyAlignment="1">
      <alignment wrapText="1"/>
    </xf>
    <xf numFmtId="0" fontId="11" fillId="17" borderId="27" xfId="26" applyBorder="1" applyAlignment="1">
      <alignment wrapText="1"/>
    </xf>
    <xf numFmtId="0" fontId="11" fillId="17" borderId="28" xfId="26" applyBorder="1" applyAlignment="1">
      <alignment wrapText="1"/>
    </xf>
    <xf numFmtId="0" fontId="0" fillId="0" borderId="36" xfId="0" applyBorder="1" applyAlignment="1">
      <alignment vertical="center"/>
    </xf>
    <xf numFmtId="0" fontId="0" fillId="0" borderId="43" xfId="0" applyBorder="1" applyAlignment="1">
      <alignment vertical="center"/>
    </xf>
    <xf numFmtId="0" fontId="0" fillId="0" borderId="37" xfId="0" applyBorder="1" applyAlignment="1">
      <alignment vertical="center"/>
    </xf>
    <xf numFmtId="0" fontId="0" fillId="0" borderId="44" xfId="0" applyBorder="1" applyAlignment="1">
      <alignment vertical="center"/>
    </xf>
    <xf numFmtId="0" fontId="20" fillId="0" borderId="46" xfId="0" applyFont="1" applyBorder="1" applyAlignment="1">
      <alignment horizontal="center" vertical="center" wrapText="1"/>
    </xf>
    <xf numFmtId="0" fontId="11" fillId="17" borderId="22" xfId="26" applyAlignment="1">
      <alignment horizontal="left" wrapText="1"/>
    </xf>
  </cellXfs>
  <cellStyles count="40">
    <cellStyle name="20% - Accent1" xfId="32" builtinId="30" hidden="1"/>
    <cellStyle name="Bad" xfId="12" builtinId="27" hidden="1"/>
    <cellStyle name="Check Cell" xfId="29" builtinId="23" hidden="1"/>
    <cellStyle name="Currency" xfId="37" builtinId="4"/>
    <cellStyle name="Explanatory Text" xfId="31" builtinId="53" hidden="1"/>
    <cellStyle name="Followed Hyperlink" xfId="5" builtinId="9" customBuiltin="1"/>
    <cellStyle name="Good" xfId="11" builtinId="26" hidden="1"/>
    <cellStyle name="Heading 1" xfId="20" builtinId="16" hidden="1"/>
    <cellStyle name="Heading 1" xfId="7" builtinId="16" hidden="1"/>
    <cellStyle name="Heading 1" xfId="17" xr:uid="{827A2D4A-7385-4E53-97FD-71BCCCD5F2E7}"/>
    <cellStyle name="Heading 2" xfId="8" builtinId="17" hidden="1"/>
    <cellStyle name="Heading 2" xfId="33" builtinId="17" customBuiltin="1"/>
    <cellStyle name="Heading 3" xfId="9" builtinId="18" hidden="1"/>
    <cellStyle name="Heading 3" xfId="34" xr:uid="{E719F22B-8762-4EB0-8669-209ED71251E1}"/>
    <cellStyle name="Heading 4" xfId="35" builtinId="19" hidden="1"/>
    <cellStyle name="Heading 4" xfId="10" builtinId="19" hidden="1"/>
    <cellStyle name="Hide Cell" xfId="25" xr:uid="{2243FA24-2F08-4FD5-AA9A-ED2C4FD21563}"/>
    <cellStyle name="Hyperlink" xfId="1" builtinId="8" customBuiltin="1"/>
    <cellStyle name="Input" xfId="14" builtinId="20" hidden="1"/>
    <cellStyle name="Input General" xfId="3" xr:uid="{FD8ACB3A-2E60-4E56-BDE0-F16C605B706F}"/>
    <cellStyle name="Locked Cell" xfId="18" xr:uid="{C5AC115B-4C70-4598-B33B-FF8931F43D69}"/>
    <cellStyle name="Locked Cell Bold" xfId="2" xr:uid="{00000000-0005-0000-0000-000003000000}"/>
    <cellStyle name="Locked Cell White" xfId="24" xr:uid="{8F7DEB48-FAC3-4610-9226-B7D4124C58C1}"/>
    <cellStyle name="Name Range Title" xfId="26" xr:uid="{46E703C9-C83A-4FAE-BD96-AD2C2F1C6BF7}"/>
    <cellStyle name="Neutral" xfId="13" builtinId="28" hidden="1"/>
    <cellStyle name="Normal" xfId="0" builtinId="0" customBuiltin="1"/>
    <cellStyle name="Normal 2" xfId="39" xr:uid="{7DFB0DAF-7494-4670-9B0C-7EAB18472ECD}"/>
    <cellStyle name="Note" xfId="15" builtinId="10" hidden="1"/>
    <cellStyle name="Output" xfId="28" builtinId="21" hidden="1"/>
    <cellStyle name="Percent" xfId="4" builtinId="5"/>
    <cellStyle name="Percent 2" xfId="38" xr:uid="{44F3F0DE-722B-4F05-8BB5-87AC0137E196}"/>
    <cellStyle name="Range Data" xfId="27" xr:uid="{7896B364-4370-470C-B83C-A03F3C77F542}"/>
    <cellStyle name="Sheet Heading" xfId="22" xr:uid="{9BC41EA3-605D-47B9-99C5-959AB6AED4CA}"/>
    <cellStyle name="Table Top 1" xfId="23" xr:uid="{8C0905FB-CD4E-49DB-B46F-8EC853259812}"/>
    <cellStyle name="Table Top 2" xfId="19" xr:uid="{DDE9671C-2664-4B42-B64A-D6F716A86511}"/>
    <cellStyle name="Table Top 3" xfId="21" xr:uid="{241A7E45-4EC5-408D-8C63-73DB54E40084}"/>
    <cellStyle name="Table Top 4" xfId="36" xr:uid="{FDC1E094-0D14-4F86-90B9-56EB940D9840}"/>
    <cellStyle name="Title" xfId="6" builtinId="15" hidden="1"/>
    <cellStyle name="Total" xfId="16" builtinId="25" hidden="1"/>
    <cellStyle name="Warning Text" xfId="30" builtinId="11" hidden="1"/>
  </cellStyles>
  <dxfs count="259">
    <dxf>
      <fill>
        <patternFill patternType="solid">
          <fgColor indexed="64"/>
          <bgColor theme="5" tint="0.79998168889431442"/>
        </patternFill>
      </fill>
      <border diagonalUp="0" diagonalDown="0">
        <left/>
        <right/>
        <top style="thin">
          <color indexed="64"/>
        </top>
        <bottom style="thin">
          <color indexed="64"/>
        </bottom>
        <vertical/>
        <horizontal/>
      </border>
    </dxf>
    <dxf>
      <numFmt numFmtId="166" formatCode="0.0"/>
      <fill>
        <patternFill patternType="solid">
          <fgColor indexed="64"/>
          <bgColor theme="5" tint="0.79998168889431442"/>
        </patternFill>
      </fill>
      <border diagonalUp="0" diagonalDown="0">
        <left/>
        <right style="thin">
          <color indexed="64"/>
        </right>
        <top style="thin">
          <color indexed="64"/>
        </top>
        <bottom style="thin">
          <color indexed="64"/>
        </bottom>
        <vertical/>
        <horizontal/>
      </border>
    </dxf>
    <dxf>
      <fill>
        <patternFill patternType="solid">
          <fgColor indexed="64"/>
          <bgColor theme="5" tint="0.79998168889431442"/>
        </patternFill>
      </fill>
      <border diagonalUp="0" diagonalDown="0">
        <left style="thin">
          <color indexed="64"/>
        </left>
        <right style="thin">
          <color indexed="64"/>
        </right>
        <top style="thin">
          <color indexed="64"/>
        </top>
        <bottom style="thin">
          <color indexed="64"/>
        </bottom>
        <vertical/>
        <horizontal/>
      </border>
    </dxf>
    <dxf>
      <numFmt numFmtId="2" formatCode="0.00"/>
      <fill>
        <patternFill patternType="solid">
          <fgColor indexed="64"/>
          <bgColor theme="5" tint="0.79998168889431442"/>
        </patternFill>
      </fill>
      <border diagonalUp="0" diagonalDown="0">
        <left style="thin">
          <color indexed="64"/>
        </left>
        <right style="thin">
          <color indexed="64"/>
        </right>
        <top style="thin">
          <color indexed="64"/>
        </top>
        <bottom style="thin">
          <color indexed="64"/>
        </bottom>
        <vertical/>
        <horizontal/>
      </border>
    </dxf>
    <dxf>
      <numFmt numFmtId="2" formatCode="0.00"/>
      <fill>
        <patternFill patternType="solid">
          <fgColor indexed="64"/>
          <bgColor theme="7" tint="0.79998168889431442"/>
        </patternFill>
      </fill>
      <border diagonalUp="0" diagonalDown="0">
        <left style="thin">
          <color auto="1"/>
        </left>
        <right style="thin">
          <color auto="1"/>
        </right>
        <top style="thin">
          <color auto="1"/>
        </top>
        <bottom/>
        <vertical/>
        <horizontal/>
      </border>
    </dxf>
    <dxf>
      <numFmt numFmtId="169" formatCode="0.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5"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5"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5"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5"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5"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5" tint="0.79998168889431442"/>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5" tint="0.79998168889431442"/>
        </patternFill>
      </fill>
    </dxf>
    <dxf>
      <border outline="0">
        <bottom style="thin">
          <color indexed="64"/>
        </bottom>
      </border>
    </dxf>
    <dxf>
      <font>
        <b val="0"/>
        <i val="0"/>
        <strike val="0"/>
        <condense val="0"/>
        <extend val="0"/>
        <outline val="0"/>
        <shadow val="0"/>
        <u val="none"/>
        <vertAlign val="baseline"/>
        <sz val="11"/>
        <color theme="0"/>
        <name val="Calibri"/>
        <family val="2"/>
        <scheme val="minor"/>
      </font>
      <fill>
        <patternFill patternType="solid">
          <fgColor indexed="64"/>
          <bgColor rgb="FF003C71"/>
        </patternFill>
      </fill>
      <alignment horizontal="general" vertical="bottom" textRotation="0" wrapText="1" indent="0" justifyLastLine="0" shrinkToFit="0" readingOrder="0"/>
      <border diagonalUp="0" diagonalDown="0" outline="0">
        <left style="thin">
          <color auto="1"/>
        </left>
        <right style="thin">
          <color auto="1"/>
        </right>
        <top/>
        <bottom/>
      </border>
    </dxf>
    <dxf>
      <fill>
        <patternFill patternType="mediumGray"/>
      </fill>
    </dxf>
    <dxf>
      <fill>
        <patternFill patternType="mediumGray"/>
      </fill>
    </dxf>
    <dxf>
      <numFmt numFmtId="0" formatCode="General"/>
    </dxf>
    <dxf>
      <numFmt numFmtId="0" formatCode="General"/>
    </dxf>
    <dxf>
      <numFmt numFmtId="0" formatCode="General"/>
    </dxf>
    <dxf>
      <numFmt numFmtId="0" formatCode="General"/>
    </dxf>
    <dxf>
      <font>
        <b/>
      </font>
    </dxf>
    <dxf>
      <numFmt numFmtId="165" formatCode="&quot;$&quot;#,##0"/>
    </dxf>
    <dxf>
      <numFmt numFmtId="165" formatCode="&quot;$&quot;#,##0"/>
    </dxf>
    <dxf>
      <numFmt numFmtId="165" formatCode="&quot;$&quot;#,##0"/>
    </dxf>
    <dxf>
      <numFmt numFmtId="13" formatCode="0%"/>
    </dxf>
    <dxf>
      <numFmt numFmtId="165" formatCode="&quot;$&quot;#,##0"/>
      <alignment horizontal="center" vertical="bottom" textRotation="0" wrapText="0" indent="0" justifyLastLine="0" shrinkToFit="0" readingOrder="0"/>
    </dxf>
    <dxf>
      <numFmt numFmtId="165" formatCode="&quot;$&quot;#,##0"/>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center" vertical="bottom" textRotation="0" wrapText="0" indent="0" justifyLastLine="0" shrinkToFit="0" readingOrder="0"/>
    </dxf>
    <dxf>
      <numFmt numFmtId="165" formatCode="&quot;$&quot;#,##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8" formatCode="#,##0.000"/>
      <alignment horizontal="center" vertical="bottom" textRotation="0" wrapText="0" indent="0" justifyLastLine="0" shrinkToFit="0" readingOrder="0"/>
    </dxf>
    <dxf>
      <numFmt numFmtId="168" formatCode="#,##0.0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0" formatCode="General"/>
    </dxf>
    <dxf>
      <alignment horizontal="center" vertical="bottom" textRotation="0" wrapText="1" indent="0" justifyLastLine="0" shrinkToFit="0" readingOrder="0"/>
    </dxf>
    <dxf>
      <numFmt numFmtId="0" formatCode="General"/>
    </dxf>
    <dxf>
      <numFmt numFmtId="0" formatCode="General"/>
    </dxf>
    <dxf>
      <alignment horizontal="general" vertical="bottom" textRotation="0" wrapText="1" indent="0" justifyLastLine="0" shrinkToFit="0" readingOrder="0"/>
    </dxf>
    <dxf>
      <numFmt numFmtId="0" formatCode="General"/>
    </dxf>
    <dxf>
      <numFmt numFmtId="0" formatCode="General"/>
    </dxf>
    <dxf>
      <alignment horizontal="general" vertical="bottom" textRotation="0" wrapText="1" indent="0" justifyLastLine="0" shrinkToFit="0" readingOrder="0"/>
    </dxf>
    <dxf>
      <numFmt numFmtId="171" formatCode="&quot;$&quot;#,##0.000"/>
    </dxf>
    <dxf>
      <alignment horizontal="general" vertical="bottom" textRotation="0" wrapText="0" indent="0" justifyLastLine="0" shrinkToFit="0" readingOrder="0"/>
    </dxf>
    <dxf>
      <numFmt numFmtId="164" formatCode="&quot;$&quot;#,##0.00"/>
    </dxf>
    <dxf>
      <numFmt numFmtId="164" formatCode="&quot;$&quot;#,##0.00"/>
    </dxf>
    <dxf>
      <numFmt numFmtId="0" formatCode="General"/>
    </dxf>
    <dxf>
      <fill>
        <patternFill patternType="none">
          <fgColor indexed="64"/>
          <bgColor indexed="65"/>
        </patternFill>
      </fill>
    </dxf>
    <dxf>
      <fill>
        <patternFill>
          <bgColor theme="2"/>
        </patternFill>
      </fill>
    </dxf>
    <dxf>
      <font>
        <b/>
        <i val="0"/>
        <strike val="0"/>
        <condense val="0"/>
        <extend val="0"/>
        <outline val="0"/>
        <shadow val="0"/>
        <u val="none"/>
        <vertAlign val="baseline"/>
        <sz val="10"/>
        <color theme="1"/>
        <name val="Calibri"/>
        <family val="2"/>
        <scheme val="none"/>
      </font>
      <numFmt numFmtId="167" formatCode="#,##0.0"/>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1" hidden="1"/>
    </dxf>
    <dxf>
      <numFmt numFmtId="167" formatCode="#,##0.0"/>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1" hidden="1"/>
    </dxf>
    <dxf>
      <font>
        <b/>
        <i val="0"/>
        <strike val="0"/>
        <condense val="0"/>
        <extend val="0"/>
        <outline val="0"/>
        <shadow val="0"/>
        <u val="none"/>
        <vertAlign val="baseline"/>
        <sz val="10"/>
        <color theme="1"/>
        <name val="Calibri"/>
        <family val="2"/>
        <scheme val="none"/>
      </font>
      <numFmt numFmtId="164" formatCode="&quot;$&quot;#,##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numFmt numFmtId="164" formatCode="&quot;$&quot;#,##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i val="0"/>
        <strike val="0"/>
        <condense val="0"/>
        <extend val="0"/>
        <outline val="0"/>
        <shadow val="0"/>
        <u val="none"/>
        <vertAlign val="baseline"/>
        <sz val="10"/>
        <color theme="1"/>
        <name val="Calibri"/>
        <family val="2"/>
        <scheme val="none"/>
      </font>
      <numFmt numFmtId="164" formatCode="&quot;$&quot;#,##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numFmt numFmtId="164" formatCode="&quot;$&quot;#,##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i val="0"/>
        <strike val="0"/>
        <condense val="0"/>
        <extend val="0"/>
        <outline val="0"/>
        <shadow val="0"/>
        <u val="none"/>
        <vertAlign val="baseline"/>
        <sz val="10"/>
        <color theme="1"/>
        <name val="Calibri"/>
        <family val="2"/>
        <scheme val="none"/>
      </font>
      <numFmt numFmtId="164" formatCode="&quot;$&quot;#,##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numFmt numFmtId="164" formatCode="&quot;$&quot;#,##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i val="0"/>
        <strike val="0"/>
        <condense val="0"/>
        <extend val="0"/>
        <outline val="0"/>
        <shadow val="0"/>
        <u val="none"/>
        <vertAlign val="baseline"/>
        <sz val="10"/>
        <color theme="1"/>
        <name val="Calibri"/>
        <family val="2"/>
        <scheme val="none"/>
      </font>
      <numFmt numFmtId="164" formatCode="&quot;$&quot;#,##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numFmt numFmtId="164" formatCode="&quot;$&quot;#,##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i val="0"/>
        <strike val="0"/>
        <condense val="0"/>
        <extend val="0"/>
        <outline val="0"/>
        <shadow val="0"/>
        <u val="none"/>
        <vertAlign val="baseline"/>
        <sz val="10"/>
        <color theme="1"/>
        <name val="Calibri"/>
        <family val="2"/>
        <scheme val="none"/>
      </font>
      <fill>
        <patternFill patternType="solid">
          <fgColor indexed="64"/>
          <bgColor theme="2"/>
        </patternFill>
      </fill>
      <alignment horizontal="center" vertical="center" textRotation="0" wrapText="1" indent="0" justifyLastLine="0" shrinkToFit="0" readingOrder="0"/>
      <border diagonalUp="0" diagonalDown="0" outline="0">
        <left/>
        <right style="thin">
          <color indexed="64"/>
        </right>
        <top style="thin">
          <color indexed="64"/>
        </top>
        <bottom/>
      </border>
    </dxf>
    <dxf>
      <numFmt numFmtId="164" formatCode="&quot;$&quot;#,##0.00"/>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font>
        <b/>
        <i val="0"/>
        <strike val="0"/>
        <condense val="0"/>
        <extend val="0"/>
        <outline val="0"/>
        <shadow val="0"/>
        <u val="none"/>
        <vertAlign val="baseline"/>
        <sz val="10"/>
        <color theme="1"/>
        <name val="Calibri"/>
        <family val="2"/>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numFmt numFmtId="168" formatCode="#,##0.000"/>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1" hidden="1"/>
    </dxf>
    <dxf>
      <font>
        <b/>
        <i val="0"/>
        <strike val="0"/>
        <condense val="0"/>
        <extend val="0"/>
        <outline val="0"/>
        <shadow val="0"/>
        <u val="none"/>
        <vertAlign val="baseline"/>
        <sz val="10"/>
        <color theme="1"/>
        <name val="Calibri"/>
        <family val="2"/>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67" formatCode="#,##0.0"/>
      <alignment horizontal="center" vertical="center" textRotation="0" wrapText="1" indent="0" justifyLastLine="0" shrinkToFit="0" readingOrder="0"/>
      <border>
        <left style="thin">
          <color indexed="64"/>
        </left>
        <right style="thin">
          <color indexed="64"/>
        </right>
      </border>
      <protection locked="1" hidden="1"/>
    </dxf>
    <dxf>
      <font>
        <b/>
        <i val="0"/>
        <strike val="0"/>
        <condense val="0"/>
        <extend val="0"/>
        <outline val="0"/>
        <shadow val="0"/>
        <u val="none"/>
        <vertAlign val="baseline"/>
        <sz val="10"/>
        <color theme="1"/>
        <name val="Calibri"/>
        <family val="2"/>
        <scheme val="none"/>
      </font>
      <fill>
        <patternFill patternType="solid">
          <fgColor indexed="64"/>
          <bgColor theme="2"/>
        </patternFill>
      </fill>
      <alignment horizontal="left" vertical="center" textRotation="0" wrapText="1" indent="0" justifyLastLine="0" shrinkToFit="0" readingOrder="0"/>
      <border diagonalUp="0" diagonalDown="0" outline="0">
        <left/>
        <right style="thin">
          <color indexed="64"/>
        </right>
        <top style="thin">
          <color indexed="64"/>
        </top>
        <bottom/>
      </border>
      <protection locked="1" hidden="0"/>
    </dxf>
    <dxf>
      <numFmt numFmtId="164" formatCode="&quot;$&quot;#,##0.00"/>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numFmt numFmtId="167" formatCode="#,##0.0"/>
      <alignment horizontal="center" vertical="center" textRotation="0" wrapText="1" indent="0" justifyLastLine="0" shrinkToFit="0" readingOrder="0"/>
      <border outline="0">
        <left style="thin">
          <color indexed="64"/>
        </left>
      </border>
    </dxf>
    <dxf>
      <numFmt numFmtId="164" formatCode="&quot;$&quot;#,##0.00"/>
      <alignment horizontal="center" vertical="center" textRotation="0" wrapText="1" indent="0" justifyLastLine="0" shrinkToFit="0" readingOrder="0"/>
      <border>
        <left style="thin">
          <color indexed="64"/>
        </left>
      </border>
    </dxf>
    <dxf>
      <numFmt numFmtId="164" formatCode="&quot;$&quot;#,##0.00"/>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border>
        <left style="thin">
          <color indexed="64"/>
        </left>
      </border>
    </dxf>
    <dxf>
      <numFmt numFmtId="168" formatCode="#,##0.000"/>
      <alignment horizontal="center" vertical="center" textRotation="0" wrapText="1" indent="0" justifyLastLine="0" shrinkToFit="0" readingOrder="0"/>
      <border>
        <left style="thin">
          <color indexed="64"/>
        </left>
      </border>
    </dxf>
    <dxf>
      <numFmt numFmtId="167" formatCode="#,##0.0"/>
    </dxf>
    <dxf>
      <numFmt numFmtId="164" formatCode="&quot;$&quot;#,##0.00"/>
      <alignment horizontal="center" vertical="center" textRotation="0" wrapText="1" indent="0" justifyLastLine="0" shrinkToFit="0" readingOrder="0"/>
      <border outline="0">
        <left style="thin">
          <color indexed="64"/>
        </left>
      </border>
    </dxf>
    <dxf>
      <numFmt numFmtId="164" formatCode="&quot;$&quot;#,##0.00"/>
      <alignment horizontal="center" vertical="center" textRotation="0" wrapText="1" indent="0" justifyLastLine="0" shrinkToFit="0" readingOrder="0"/>
      <border outline="0">
        <left style="thin">
          <color indexed="64"/>
        </left>
      </border>
    </dxf>
    <dxf>
      <numFmt numFmtId="164" formatCode="&quot;$&quot;#,##0.00"/>
      <alignment horizontal="center" vertical="center" textRotation="0" wrapText="1" indent="0" justifyLastLine="0" shrinkToFit="0" readingOrder="0"/>
      <border outline="0">
        <left style="thin">
          <color indexed="64"/>
        </left>
        <right style="thin">
          <color indexed="64"/>
        </right>
      </border>
    </dxf>
    <dxf>
      <numFmt numFmtId="169" formatCode="0.000"/>
      <alignment horizontal="center" vertical="center" textRotation="0" wrapText="1" indent="0" justifyLastLine="0" shrinkToFit="0" readingOrder="0"/>
      <border outline="0">
        <left style="thin">
          <color indexed="64"/>
        </left>
        <right style="thin">
          <color indexed="64"/>
        </right>
      </border>
    </dxf>
    <dxf>
      <numFmt numFmtId="167" formatCode="#,##0.0"/>
      <alignment horizontal="center" vertical="center" textRotation="0" wrapText="1" indent="0" justifyLastLine="0" shrinkToFit="0" readingOrder="0"/>
      <border outline="0">
        <right style="thin">
          <color indexed="64"/>
        </right>
      </border>
    </dxf>
    <dxf>
      <alignment horizontal="center" vertical="center" textRotation="0" wrapText="1" indent="0" justifyLastLine="0" shrinkToFit="0" readingOrder="0"/>
      <border outline="0">
        <left style="thin">
          <color indexed="64"/>
        </left>
        <right style="thin">
          <color indexed="64"/>
        </right>
      </border>
    </dxf>
    <dxf>
      <numFmt numFmtId="169" formatCode="0.000"/>
      <alignment horizontal="center" vertical="center" textRotation="0" wrapText="1" indent="0" justifyLastLine="0" shrinkToFit="0" readingOrder="0"/>
      <border outline="0">
        <left style="thin">
          <color indexed="64"/>
        </left>
      </border>
    </dxf>
    <dxf>
      <numFmt numFmtId="167" formatCode="#,##0.0"/>
      <alignment horizontal="center" vertical="center" textRotation="0" wrapText="1" indent="0" justifyLastLine="0" shrinkToFit="0" readingOrder="0"/>
      <border outline="0">
        <left style="thin">
          <color indexed="64"/>
        </left>
        <right style="thin">
          <color indexed="64"/>
        </right>
      </border>
    </dxf>
    <dxf>
      <alignment horizontal="center" vertical="center" textRotation="0" wrapText="1" indent="0" justifyLastLine="0" shrinkToFit="0" readingOrder="0"/>
      <border outline="0">
        <right style="thin">
          <color indexed="64"/>
        </right>
      </border>
    </dxf>
    <dxf>
      <alignment horizontal="center" vertical="center" textRotation="0" wrapText="1" indent="0" justifyLastLine="0" shrinkToFit="0" readingOrder="0"/>
      <border outline="0">
        <right style="thin">
          <color indexed="64"/>
        </right>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border outline="0">
        <left style="thin">
          <color indexed="64"/>
        </left>
      </border>
    </dxf>
    <dxf>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numFmt numFmtId="0" formatCode="Genera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border diagonalUp="0" diagonalDown="0" outline="0">
        <left style="thin">
          <color auto="1"/>
        </left>
        <right style="thin">
          <color auto="1"/>
        </right>
        <top/>
        <bottom/>
      </border>
    </dxf>
    <dxf>
      <fill>
        <patternFill>
          <bgColor theme="2"/>
        </patternFill>
      </fill>
    </dxf>
    <dxf>
      <numFmt numFmtId="167" formatCode="#,##0.0"/>
      <alignment horizontal="center" vertical="center" textRotation="0" wrapText="1" indent="0" justifyLastLine="0" shrinkToFit="0" readingOrder="0"/>
      <border outline="0">
        <left style="thin">
          <color indexed="64"/>
        </left>
      </border>
    </dxf>
    <dxf>
      <numFmt numFmtId="164" formatCode="&quot;$&quot;#,##0.00"/>
      <alignment horizontal="center" vertical="center" textRotation="0" wrapText="1" indent="0" justifyLastLine="0" shrinkToFit="0" readingOrder="0"/>
      <border>
        <left style="thin">
          <color indexed="64"/>
        </left>
      </border>
    </dxf>
    <dxf>
      <numFmt numFmtId="164" formatCode="&quot;$&quot;#,##0.00"/>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border>
        <left style="thin">
          <color indexed="64"/>
        </left>
      </border>
    </dxf>
    <dxf>
      <numFmt numFmtId="168" formatCode="#,##0.000"/>
      <alignment horizontal="center" vertical="center" textRotation="0" wrapText="1" indent="0" justifyLastLine="0" shrinkToFit="0" readingOrder="0"/>
      <border>
        <left style="thin">
          <color indexed="64"/>
        </left>
      </border>
    </dxf>
    <dxf>
      <numFmt numFmtId="167" formatCode="#,##0.0"/>
      <border outline="0">
        <left style="thin">
          <color indexed="64"/>
        </left>
      </border>
    </dxf>
    <dxf>
      <numFmt numFmtId="164" formatCode="&quot;$&quot;#,##0.00"/>
      <alignment horizontal="center" vertical="center" textRotation="0" wrapText="1" indent="0" justifyLastLine="0" shrinkToFit="0" readingOrder="0"/>
      <border>
        <left style="thin">
          <color indexed="64"/>
        </left>
      </border>
    </dxf>
    <dxf>
      <numFmt numFmtId="164" formatCode="&quot;$&quot;#,##0.00"/>
      <alignment horizontal="center" vertical="center" textRotation="0" wrapText="1" indent="0" justifyLastLine="0" shrinkToFit="0" readingOrder="0"/>
      <border>
        <left style="thin">
          <color indexed="64"/>
        </left>
        <right style="thin">
          <color indexed="64"/>
        </right>
      </border>
    </dxf>
    <dxf>
      <numFmt numFmtId="165" formatCode="&quot;$&quot;#,##0"/>
      <alignment horizontal="center" vertical="center" textRotation="0" wrapText="1" indent="0" justifyLastLine="0" shrinkToFit="0" readingOrder="0"/>
      <border outline="0">
        <left style="thin">
          <color indexed="64"/>
        </left>
        <right style="thin">
          <color indexed="64"/>
        </right>
      </border>
    </dxf>
    <dxf>
      <numFmt numFmtId="165" formatCode="&quot;$&quot;#,##0"/>
      <alignment horizontal="center" vertical="center" textRotation="0" wrapText="1" indent="0" justifyLastLine="0" shrinkToFit="0" readingOrder="0"/>
      <border outline="0">
        <left style="thin">
          <color indexed="64"/>
        </left>
      </border>
    </dxf>
    <dxf>
      <alignment horizontal="center" vertical="center" textRotation="0" wrapText="1" indent="0" justifyLastLine="0" shrinkToFit="0" readingOrder="0"/>
      <border outline="0">
        <left style="thin">
          <color indexed="64"/>
        </left>
      </border>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border outline="0">
        <left style="thin">
          <color indexed="64"/>
        </left>
      </border>
    </dxf>
    <dxf>
      <alignment horizontal="center" vertical="center" textRotation="0" wrapText="1" indent="0" justifyLastLine="0" shrinkToFit="0" readingOrder="0"/>
    </dxf>
    <dxf>
      <alignment horizontal="center" vertical="center" textRotation="0" wrapText="1" indent="0" justifyLastLine="0" shrinkToFit="0" readingOrder="0"/>
      <border outline="0">
        <left style="thin">
          <color indexed="64"/>
        </left>
      </border>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border diagonalUp="0" diagonalDown="0" outline="0">
        <left style="thin">
          <color auto="1"/>
        </left>
        <right style="thin">
          <color auto="1"/>
        </right>
        <top/>
        <bottom/>
      </border>
    </dxf>
    <dxf>
      <fill>
        <patternFill>
          <bgColor theme="2"/>
        </patternFill>
      </fill>
    </dxf>
    <dxf>
      <numFmt numFmtId="0" formatCode="General"/>
      <fill>
        <patternFill>
          <fgColor indexed="64"/>
          <bgColor rgb="FFFF0000"/>
        </patternFill>
      </fill>
    </dxf>
    <dxf>
      <numFmt numFmtId="167" formatCode="#,##0.0"/>
      <alignment horizontal="center" vertical="center" textRotation="0" wrapText="1" indent="0" justifyLastLine="0" shrinkToFit="0" readingOrder="0"/>
      <border outline="0">
        <left style="thin">
          <color indexed="64"/>
        </left>
      </border>
    </dxf>
    <dxf>
      <numFmt numFmtId="164" formatCode="&quot;$&quot;#,##0.00"/>
      <alignment horizontal="center" vertical="center" textRotation="0" wrapText="1" indent="0" justifyLastLine="0" shrinkToFit="0" readingOrder="0"/>
      <border>
        <left style="thin">
          <color indexed="64"/>
        </left>
      </border>
    </dxf>
    <dxf>
      <numFmt numFmtId="164" formatCode="&quot;$&quot;#,##0.00"/>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border>
        <left style="thin">
          <color indexed="64"/>
        </left>
      </border>
    </dxf>
    <dxf>
      <numFmt numFmtId="168" formatCode="#,##0.000"/>
      <alignment horizontal="center" vertical="center" textRotation="0" wrapText="1" indent="0" justifyLastLine="0" shrinkToFit="0" readingOrder="0"/>
      <border>
        <left style="thin">
          <color indexed="64"/>
        </left>
      </border>
    </dxf>
    <dxf>
      <numFmt numFmtId="167" formatCode="#,##0.0"/>
    </dxf>
    <dxf>
      <numFmt numFmtId="164" formatCode="&quot;$&quot;#,##0.00"/>
      <alignment horizontal="center" vertical="center" textRotation="0" wrapText="1" indent="0" justifyLastLine="0" shrinkToFit="0" readingOrder="0"/>
      <border>
        <left style="thin">
          <color indexed="64"/>
        </left>
      </border>
    </dxf>
    <dxf>
      <numFmt numFmtId="164" formatCode="&quot;$&quot;#,##0.00"/>
      <alignment horizontal="center" vertical="center" textRotation="0" wrapText="1" indent="0" justifyLastLine="0" shrinkToFit="0" readingOrder="0"/>
      <border>
        <left style="thin">
          <color indexed="64"/>
        </left>
      </border>
    </dxf>
    <dxf>
      <numFmt numFmtId="165" formatCode="&quot;$&quot;#,##0"/>
      <alignment horizontal="center" vertical="center" textRotation="0" wrapText="1" indent="0" justifyLastLine="0" shrinkToFit="0" readingOrder="0"/>
      <border outline="0">
        <left style="thin">
          <color indexed="64"/>
        </left>
      </border>
    </dxf>
    <dxf>
      <numFmt numFmtId="165" formatCode="&quot;$&quot;#,##0"/>
      <alignment horizontal="center" vertical="center" textRotation="0" wrapText="1" indent="0" justifyLastLine="0" shrinkToFit="0" readingOrder="0"/>
      <border outline="0">
        <left style="thin">
          <color indexed="64"/>
        </left>
      </border>
    </dxf>
    <dxf>
      <alignment horizontal="center" vertical="center" textRotation="0" wrapText="1" indent="0" justifyLastLine="0" shrinkToFit="0" readingOrder="0"/>
      <border outline="0">
        <left style="thin">
          <color indexed="64"/>
        </left>
      </border>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border outline="0">
        <left style="thin">
          <color indexed="64"/>
        </left>
        <right style="thin">
          <color indexed="64"/>
        </right>
      </border>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border>
        <left style="thin">
          <color indexed="64"/>
        </left>
      </border>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border diagonalUp="0" diagonalDown="0" outline="0">
        <left style="thin">
          <color auto="1"/>
        </left>
        <right style="thin">
          <color auto="1"/>
        </right>
        <top/>
        <bottom/>
      </border>
    </dxf>
    <dxf>
      <fill>
        <patternFill>
          <bgColor theme="2"/>
        </patternFill>
      </fill>
    </dxf>
    <dxf>
      <numFmt numFmtId="0" formatCode="General"/>
      <fill>
        <patternFill>
          <fgColor indexed="64"/>
          <bgColor rgb="FFFF0000"/>
        </patternFill>
      </fill>
    </dxf>
    <dxf>
      <numFmt numFmtId="167" formatCode="#,##0.0"/>
      <alignment horizontal="center" vertical="center" textRotation="0" wrapText="1" indent="0" justifyLastLine="0" shrinkToFit="0" readingOrder="0"/>
      <border outline="0">
        <left style="thin">
          <color indexed="64"/>
        </left>
      </border>
    </dxf>
    <dxf>
      <numFmt numFmtId="164" formatCode="&quot;$&quot;#,##0.00"/>
      <alignment horizontal="center" vertical="center" textRotation="0" wrapText="1" indent="0" justifyLastLine="0" shrinkToFit="0" readingOrder="0"/>
      <border>
        <left style="thin">
          <color indexed="64"/>
        </left>
      </border>
    </dxf>
    <dxf>
      <numFmt numFmtId="164" formatCode="&quot;$&quot;#,##0.00"/>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border>
        <left style="thin">
          <color indexed="64"/>
        </left>
      </border>
    </dxf>
    <dxf>
      <numFmt numFmtId="168" formatCode="#,##0.000"/>
      <alignment horizontal="center" vertical="center" textRotation="0" wrapText="1" indent="0" justifyLastLine="0" shrinkToFit="0" readingOrder="0"/>
      <border>
        <left style="thin">
          <color indexed="64"/>
        </left>
      </border>
    </dxf>
    <dxf>
      <numFmt numFmtId="167" formatCode="#,##0.0"/>
    </dxf>
    <dxf>
      <numFmt numFmtId="164" formatCode="&quot;$&quot;#,##0.00"/>
      <alignment horizontal="center" vertical="center" textRotation="0" wrapText="1" indent="0" justifyLastLine="0" shrinkToFit="0" readingOrder="0"/>
      <border>
        <left style="thin">
          <color indexed="64"/>
        </left>
      </border>
    </dxf>
    <dxf>
      <numFmt numFmtId="164" formatCode="&quot;$&quot;#,##0.00"/>
      <alignment horizontal="center" vertical="center" textRotation="0" wrapText="1" indent="0" justifyLastLine="0" shrinkToFit="0" readingOrder="0"/>
      <border>
        <left style="thin">
          <color indexed="64"/>
        </left>
      </border>
    </dxf>
    <dxf>
      <numFmt numFmtId="165" formatCode="&quot;$&quot;#,##0"/>
      <alignment horizontal="center" vertical="center" textRotation="0" wrapText="1" indent="0" justifyLastLine="0" shrinkToFit="0" readingOrder="0"/>
      <border outline="0">
        <left style="thin">
          <color indexed="64"/>
        </left>
      </border>
    </dxf>
    <dxf>
      <numFmt numFmtId="165" formatCode="&quot;$&quot;#,##0"/>
      <alignment horizontal="center" vertical="center" textRotation="0" wrapText="1" indent="0" justifyLastLine="0" shrinkToFit="0" readingOrder="0"/>
      <border outline="0">
        <left style="thin">
          <color indexed="64"/>
        </left>
      </border>
    </dxf>
    <dxf>
      <alignment horizontal="center" vertical="center" textRotation="0" wrapText="1" indent="0" justifyLastLine="0" shrinkToFit="0" readingOrder="0"/>
      <border outline="0">
        <left style="thin">
          <color indexed="64"/>
        </left>
      </border>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border outline="0">
        <left style="thin">
          <color indexed="64"/>
        </left>
        <right style="thin">
          <color indexed="64"/>
        </right>
      </border>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border>
        <left style="thin">
          <color indexed="64"/>
        </left>
      </border>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border diagonalUp="0" diagonalDown="0" outline="0">
        <left style="thin">
          <color auto="1"/>
        </left>
        <right style="thin">
          <color auto="1"/>
        </right>
        <top/>
        <bottom/>
      </border>
    </dxf>
    <dxf>
      <fill>
        <patternFill>
          <bgColor theme="2"/>
        </patternFill>
      </fill>
    </dxf>
    <dxf>
      <numFmt numFmtId="167" formatCode="#,##0.0"/>
      <alignment horizontal="center" vertical="center" textRotation="0" wrapText="1" indent="0" justifyLastLine="0" shrinkToFit="0" readingOrder="0"/>
      <border outline="0">
        <left style="thin">
          <color indexed="64"/>
        </left>
      </border>
    </dxf>
    <dxf>
      <numFmt numFmtId="164" formatCode="&quot;$&quot;#,##0.00"/>
      <alignment horizontal="center" vertical="center" textRotation="0" wrapText="1" indent="0" justifyLastLine="0" shrinkToFit="0" readingOrder="0"/>
      <border>
        <left style="thin">
          <color indexed="64"/>
        </left>
      </border>
    </dxf>
    <dxf>
      <numFmt numFmtId="164" formatCode="&quot;$&quot;#,##0.00"/>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border>
        <left style="thin">
          <color indexed="64"/>
        </left>
      </border>
    </dxf>
    <dxf>
      <numFmt numFmtId="168" formatCode="#,##0.000"/>
      <alignment horizontal="center" vertical="center" textRotation="0" wrapText="1" indent="0" justifyLastLine="0" shrinkToFit="0" readingOrder="0"/>
      <border>
        <left style="thin">
          <color indexed="64"/>
        </left>
      </border>
    </dxf>
    <dxf>
      <numFmt numFmtId="167" formatCode="#,##0.0"/>
    </dxf>
    <dxf>
      <numFmt numFmtId="164" formatCode="&quot;$&quot;#,##0.00"/>
      <alignment horizontal="center" vertical="center" textRotation="0" wrapText="1" indent="0" justifyLastLine="0" shrinkToFit="0" readingOrder="0"/>
      <border>
        <left style="thin">
          <color indexed="64"/>
        </left>
      </border>
    </dxf>
    <dxf>
      <numFmt numFmtId="164" formatCode="&quot;$&quot;#,##0.00"/>
      <alignment horizontal="center" vertical="center" textRotation="0" wrapText="1" indent="0" justifyLastLine="0" shrinkToFit="0" readingOrder="0"/>
      <border>
        <left style="thin">
          <color indexed="64"/>
        </left>
      </border>
    </dxf>
    <dxf>
      <numFmt numFmtId="165" formatCode="&quot;$&quot;#,##0"/>
      <alignment horizontal="center" vertical="center" textRotation="0" wrapText="1" indent="0" justifyLastLine="0" shrinkToFit="0" readingOrder="0"/>
      <border outline="0">
        <left style="thin">
          <color indexed="64"/>
        </left>
      </border>
    </dxf>
    <dxf>
      <numFmt numFmtId="165" formatCode="&quot;$&quot;#,##0"/>
      <alignment horizontal="center" vertical="center" textRotation="0" wrapText="1" indent="0" justifyLastLine="0" shrinkToFit="0" readingOrder="0"/>
      <border outline="0">
        <left style="thin">
          <color indexed="64"/>
        </left>
      </border>
    </dxf>
    <dxf>
      <alignment horizontal="center" vertical="center" textRotation="0" wrapText="1" indent="0" justifyLastLine="0" shrinkToFit="0" readingOrder="0"/>
      <border outline="0">
        <left style="thin">
          <color indexed="64"/>
        </left>
      </border>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border outline="0">
        <left style="thin">
          <color indexed="64"/>
        </left>
        <right style="thin">
          <color indexed="64"/>
        </right>
      </border>
    </dxf>
    <dxf>
      <alignment horizontal="center" vertical="center" textRotation="0" wrapText="1" indent="0" justifyLastLine="0" shrinkToFit="0" readingOrder="0"/>
    </dxf>
    <dxf>
      <alignment horizontal="center" vertical="center" textRotation="0" wrapText="1" indent="0" justifyLastLine="0" shrinkToFit="0" readingOrder="0"/>
      <border outline="0">
        <left style="thin">
          <color indexed="64"/>
        </left>
      </border>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border diagonalUp="0" diagonalDown="0" outline="0">
        <left style="thin">
          <color auto="1"/>
        </left>
        <right style="thin">
          <color auto="1"/>
        </right>
        <top/>
        <bottom/>
      </border>
    </dxf>
    <dxf>
      <fill>
        <patternFill>
          <bgColor theme="2"/>
        </patternFill>
      </fill>
    </dxf>
    <dxf>
      <font>
        <b val="0"/>
        <i val="0"/>
        <strike val="0"/>
        <condense val="0"/>
        <extend val="0"/>
        <outline val="0"/>
        <shadow val="0"/>
        <u val="none"/>
        <vertAlign val="baseline"/>
        <sz val="12"/>
        <color theme="1"/>
        <name val="Arial"/>
        <family val="2"/>
        <scheme val="none"/>
      </font>
      <numFmt numFmtId="167" formatCode="#,##0.0"/>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medium">
          <color indexed="64"/>
        </right>
        <top style="thin">
          <color indexed="64"/>
        </top>
        <bottom/>
      </border>
    </dxf>
    <dxf>
      <font>
        <b val="0"/>
        <i val="0"/>
        <strike val="0"/>
        <condense val="0"/>
        <extend val="0"/>
        <outline val="0"/>
        <shadow val="0"/>
        <u val="none"/>
        <vertAlign val="baseline"/>
        <sz val="12"/>
        <color theme="1"/>
        <name val="Arial"/>
        <family val="2"/>
        <scheme val="none"/>
      </font>
      <numFmt numFmtId="164" formatCode="&quot;$&quot;#,##0.00"/>
      <fill>
        <patternFill patternType="solid">
          <fgColor indexed="64"/>
          <bgColor theme="0" tint="-0.149967955565050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164" formatCode="&quot;$&quot;#,##0.00"/>
      <fill>
        <patternFill patternType="solid">
          <fgColor indexed="64"/>
          <bgColor theme="0" tint="-0.149967955565050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164" formatCode="&quot;$&quot;#,##0.00"/>
      <fill>
        <patternFill patternType="solid">
          <fgColor indexed="64"/>
          <bgColor theme="0" tint="-0.149967955565050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168" formatCode="#,##0.000"/>
      <fill>
        <patternFill patternType="solid">
          <fgColor indexed="64"/>
          <bgColor theme="0" tint="-0.149967955565050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167" formatCode="#,##0.0"/>
      <fill>
        <patternFill patternType="solid">
          <fgColor indexed="64"/>
          <bgColor theme="0" tint="-0.149967955565050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164" formatCode="&quot;$&quot;#,##0.00"/>
      <fill>
        <patternFill patternType="solid">
          <fgColor indexed="64"/>
          <bgColor theme="0" tint="-0.149967955565050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border>
    </dxf>
    <dxf>
      <numFmt numFmtId="164" formatCode="&quot;$&quot;#,##0.00"/>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theme="1"/>
        <name val="Arial"/>
        <family val="2"/>
        <scheme val="none"/>
      </font>
      <numFmt numFmtId="165" formatCode="&quot;$&quot;#,##0"/>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border outline="0">
        <left style="thin">
          <color indexed="64"/>
        </left>
        <right style="thin">
          <color indexed="64"/>
        </right>
      </border>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border outline="0">
        <right style="thin">
          <color indexed="64"/>
        </right>
      </border>
    </dxf>
    <dxf>
      <border outline="0">
        <left style="thin">
          <color auto="1"/>
        </left>
        <top style="thin">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6795556505021"/>
        </patternFill>
      </fill>
      <alignment horizontal="center" vertical="center" textRotation="0" wrapText="1" indent="0" justifyLastLine="0" shrinkToFit="0" readingOrder="0"/>
    </dxf>
    <dxf>
      <border outline="0">
        <bottom style="thin">
          <color auto="1"/>
        </bottom>
      </border>
    </dxf>
    <dxf>
      <alignment horizontal="center" vertical="center" textRotation="0" wrapText="1" indent="0" justifyLastLine="0" shrinkToFit="0" readingOrder="0"/>
      <border diagonalUp="0" diagonalDown="0" outline="0">
        <left style="thin">
          <color auto="1"/>
        </left>
        <right style="thin">
          <color auto="1"/>
        </right>
        <top/>
        <bottom/>
      </border>
    </dxf>
    <dxf>
      <fill>
        <patternFill>
          <bgColor theme="2"/>
        </patternFill>
      </fill>
    </dxf>
    <dxf>
      <numFmt numFmtId="167" formatCode="#,##0.0"/>
      <alignment horizontal="center" vertical="center" textRotation="0" wrapText="1" indent="0" justifyLastLine="0" shrinkToFit="0" readingOrder="0"/>
      <border outline="0">
        <left style="thin">
          <color indexed="64"/>
        </left>
      </border>
    </dxf>
    <dxf>
      <numFmt numFmtId="164" formatCode="&quot;$&quot;#,##0.00"/>
      <alignment horizontal="center" vertical="center" textRotation="0" wrapText="1" indent="0" justifyLastLine="0" shrinkToFit="0" readingOrder="0"/>
      <border>
        <left style="thin">
          <color indexed="64"/>
        </left>
      </border>
    </dxf>
    <dxf>
      <numFmt numFmtId="164" formatCode="&quot;$&quot;#,##0.00"/>
      <alignment horizontal="center" vertical="center" textRotation="0" wrapText="1" indent="0" justifyLastLine="0" shrinkToFit="0" readingOrder="0"/>
      <border>
        <left style="thin">
          <color indexed="64"/>
        </left>
      </border>
    </dxf>
    <dxf>
      <numFmt numFmtId="164" formatCode="&quot;$&quot;#,##0.00"/>
      <alignment horizontal="center" vertical="center" textRotation="0" wrapText="1" indent="0" justifyLastLine="0" shrinkToFit="0" readingOrder="0"/>
      <border>
        <left style="thin">
          <color indexed="64"/>
        </left>
      </border>
    </dxf>
    <dxf>
      <numFmt numFmtId="168" formatCode="#,##0.000"/>
      <alignment horizontal="center" vertical="center" textRotation="0" wrapText="1" indent="0" justifyLastLine="0" shrinkToFit="0" readingOrder="0"/>
      <border>
        <left style="thin">
          <color indexed="64"/>
        </left>
      </border>
    </dxf>
    <dxf>
      <numFmt numFmtId="167" formatCode="#,##0.0"/>
      <alignment horizontal="center" vertical="center" textRotation="0" wrapText="1" indent="0" justifyLastLine="0" shrinkToFit="0" readingOrder="0"/>
      <border>
        <left style="thin">
          <color indexed="64"/>
        </left>
      </border>
    </dxf>
    <dxf>
      <numFmt numFmtId="164" formatCode="&quot;$&quot;#,##0.00"/>
      <alignment horizontal="center" vertical="center" textRotation="0" wrapText="1" indent="0" justifyLastLine="0" shrinkToFit="0" readingOrder="0"/>
      <border>
        <left style="thin">
          <color indexed="64"/>
        </left>
      </border>
    </dxf>
    <dxf>
      <numFmt numFmtId="164" formatCode="&quot;$&quot;#,##0.00"/>
      <alignment horizontal="center" vertical="center" textRotation="0" wrapText="1" indent="0" justifyLastLine="0" shrinkToFit="0" readingOrder="0"/>
      <border>
        <left style="thin">
          <color indexed="64"/>
        </left>
      </border>
    </dxf>
    <dxf>
      <numFmt numFmtId="165" formatCode="&quot;$&quot;#,##0"/>
      <alignment horizontal="center" vertical="center" textRotation="0" wrapText="1" indent="0" justifyLastLine="0" shrinkToFit="0" readingOrder="0"/>
      <border outline="0">
        <left style="thin">
          <color indexed="64"/>
        </left>
      </border>
    </dxf>
    <dxf>
      <numFmt numFmtId="165" formatCode="&quot;$&quot;#,##0"/>
      <alignment horizontal="center" vertical="center" textRotation="0" wrapText="1" indent="0" justifyLastLine="0" shrinkToFit="0" readingOrder="0"/>
      <border outline="0">
        <left style="thin">
          <color indexed="64"/>
        </left>
      </border>
    </dxf>
    <dxf>
      <numFmt numFmtId="3" formatCode="#,##0"/>
    </dxf>
    <dxf>
      <numFmt numFmtId="3" formatCode="#,##0"/>
    </dxf>
    <dxf>
      <numFmt numFmtId="3" formatCode="#,##0"/>
    </dxf>
    <dxf>
      <font>
        <strike/>
        <color rgb="FF000000"/>
      </font>
      <numFmt numFmtId="3" formatCode="#,##0"/>
      <alignment horizontal="center" vertical="center" textRotation="0" wrapText="1" indent="0" justifyLastLine="0" shrinkToFit="0" readingOrder="0"/>
      <border outline="0">
        <left style="thin">
          <color indexed="64"/>
        </left>
      </border>
    </dxf>
    <dxf>
      <numFmt numFmtId="0" formatCode="General"/>
      <alignment horizontal="center" vertical="center" textRotation="0" wrapText="1" indent="0" justifyLastLine="0" shrinkToFit="0" readingOrder="0"/>
      <border>
        <left style="thin">
          <color indexed="64"/>
        </left>
      </border>
    </dxf>
    <dxf>
      <alignment horizontal="center" vertical="center" textRotation="0" wrapText="1" indent="0" justifyLastLine="0" shrinkToFit="0" readingOrder="0"/>
      <border outline="0">
        <left style="thin">
          <color indexed="64"/>
        </left>
      </border>
    </dxf>
    <dxf>
      <alignment horizontal="center" vertical="center" textRotation="0" wrapText="1" indent="0" justifyLastLine="0" shrinkToFit="0" readingOrder="0"/>
    </dxf>
    <dxf>
      <alignment horizontal="center" vertical="center" textRotation="0" wrapText="1" indent="0" justifyLastLine="0" shrinkToFit="0" readingOrder="0"/>
      <border outline="0">
        <left style="thin">
          <color indexed="64"/>
        </left>
      </border>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diagonalUp="0" diagonalDown="0" outline="0">
        <left style="thin">
          <color auto="1"/>
        </left>
        <right style="thin">
          <color auto="1"/>
        </right>
        <top/>
        <bottom/>
      </border>
    </dxf>
    <dxf>
      <fill>
        <patternFill>
          <bgColor rgb="FFC0C0C0"/>
        </patternFill>
      </fill>
    </dxf>
    <dxf>
      <fill>
        <patternFill>
          <bgColor rgb="FFC0C0C0"/>
        </patternFill>
      </fill>
    </dxf>
    <dxf>
      <fill>
        <patternFill>
          <bgColor theme="2"/>
        </patternFill>
      </fill>
    </dxf>
    <dxf>
      <fill>
        <patternFill patternType="solid">
          <fgColor auto="1"/>
          <bgColor rgb="FFF7F7F7"/>
        </patternFill>
      </fill>
    </dxf>
    <dxf>
      <fill>
        <patternFill patternType="solid">
          <fgColor auto="1"/>
          <bgColor theme="0" tint="-0.1499679555650502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color theme="1"/>
      </font>
    </dxf>
    <dxf>
      <font>
        <b/>
        <color theme="1"/>
      </font>
    </dxf>
    <dxf>
      <font>
        <b/>
        <color theme="1"/>
      </font>
      <border>
        <top style="double">
          <color theme="5"/>
        </top>
      </border>
    </dxf>
    <dxf>
      <font>
        <b/>
        <i val="0"/>
        <strike val="0"/>
        <color theme="0"/>
      </font>
      <fill>
        <patternFill>
          <bgColor theme="5"/>
        </patternFill>
      </fill>
      <border>
        <bottom style="medium">
          <color theme="5"/>
        </bottom>
      </border>
    </dxf>
    <dxf>
      <font>
        <color theme="1"/>
      </font>
      <border>
        <left style="thin">
          <color theme="5"/>
        </left>
        <right style="thin">
          <color theme="5"/>
        </right>
        <top style="thin">
          <color theme="5"/>
        </top>
        <bottom style="thin">
          <color theme="5"/>
        </bottom>
        <vertical style="thin">
          <color theme="5"/>
        </vertical>
        <horizontal style="thin">
          <color theme="5"/>
        </horizontal>
      </border>
    </dxf>
    <dxf>
      <fill>
        <patternFill patternType="solid">
          <fgColor theme="0"/>
          <bgColor rgb="FFFFEAA7"/>
        </patternFill>
      </fill>
    </dxf>
    <dxf>
      <fill>
        <patternFill patternType="solid">
          <fgColor theme="7"/>
          <bgColor rgb="FFFFD54F"/>
        </patternFill>
      </fill>
    </dxf>
    <dxf>
      <border>
        <vertical style="thin">
          <color auto="1"/>
        </vertical>
        <horizontal style="thin">
          <color auto="1"/>
        </horizontal>
      </border>
    </dxf>
    <dxf>
      <fill>
        <patternFill patternType="gray125">
          <fgColor theme="7"/>
        </patternFill>
      </fill>
    </dxf>
    <dxf>
      <fill>
        <patternFill patternType="mediumGray">
          <fgColor theme="7"/>
        </patternFill>
      </fill>
    </dxf>
    <dxf>
      <border>
        <vertical style="thin">
          <color auto="1"/>
        </vertical>
        <horizontal style="thin">
          <color auto="1"/>
        </horizontal>
      </border>
    </dxf>
  </dxfs>
  <tableStyles count="5" defaultTableStyle="Lookup Table" defaultPivotStyle="PivotStyleLight16">
    <tableStyle name="Input Cells" pivot="0" count="3" xr9:uid="{00000000-0011-0000-FFFF-FFFF00000000}">
      <tableStyleElement type="wholeTable" dxfId="258"/>
      <tableStyleElement type="firstRowStripe" dxfId="257"/>
      <tableStyleElement type="secondRowStripe" dxfId="256"/>
    </tableStyle>
    <tableStyle name="Input Cells 2" pivot="0" count="3" xr9:uid="{C2C6F8B6-F1BF-4C38-8C6C-F5810E96A7ED}">
      <tableStyleElement type="wholeTable" dxfId="255"/>
      <tableStyleElement type="firstRowStripe" dxfId="254"/>
      <tableStyleElement type="secondRowStripe" dxfId="253"/>
    </tableStyle>
    <tableStyle name="Invisible" pivot="0" table="0" count="0" xr9:uid="{608B31E0-24D9-463C-B6F1-B39AD8790504}"/>
    <tableStyle name="Lookup Table" pivot="0" count="7" xr9:uid="{7A430CEC-830A-4AC1-B89A-72EA92F001D4}">
      <tableStyleElement type="wholeTable" dxfId="252"/>
      <tableStyleElement type="headerRow" dxfId="251"/>
      <tableStyleElement type="totalRow" dxfId="250"/>
      <tableStyleElement type="firstColumn" dxfId="249"/>
      <tableStyleElement type="lastColumn" dxfId="248"/>
      <tableStyleElement type="firstRowStripe" dxfId="247"/>
      <tableStyleElement type="firstColumnStripe" dxfId="246"/>
    </tableStyle>
    <tableStyle name="No Input" pivot="0" count="3" xr9:uid="{6B172CA5-6E53-4EC8-A05C-2C0F8F85993F}">
      <tableStyleElement type="wholeTable" dxfId="245"/>
      <tableStyleElement type="firstRowStripe" dxfId="244"/>
      <tableStyleElement type="secondRowStripe" dxfId="243"/>
    </tableStyle>
  </tableStyles>
  <colors>
    <mruColors>
      <color rgb="FFB41E83"/>
      <color rgb="FFC0C0C0"/>
      <color rgb="FF8DC63F"/>
      <color rgb="FF006E51"/>
      <color rgb="FFC9E4A6"/>
      <color rgb="FFFFF2CC"/>
      <color rgb="FFFFFFCC"/>
      <color rgb="FF000000"/>
      <color rgb="FFDDDDDD"/>
      <color rgb="FF002D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704850</xdr:colOff>
      <xdr:row>0</xdr:row>
      <xdr:rowOff>371475</xdr:rowOff>
    </xdr:from>
    <xdr:to>
      <xdr:col>5</xdr:col>
      <xdr:colOff>89139</xdr:colOff>
      <xdr:row>4</xdr:row>
      <xdr:rowOff>143428</xdr:rowOff>
    </xdr:to>
    <xdr:pic>
      <xdr:nvPicPr>
        <xdr:cNvPr id="5" name="Picture 4">
          <a:extLst>
            <a:ext uri="{FF2B5EF4-FFF2-40B4-BE49-F238E27FC236}">
              <a16:creationId xmlns:a16="http://schemas.microsoft.com/office/drawing/2014/main" id="{88743EC6-7BBD-4496-842C-932064928D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62450" y="371475"/>
          <a:ext cx="2927589" cy="886378"/>
        </a:xfrm>
        <a:prstGeom prst="rect">
          <a:avLst/>
        </a:prstGeom>
      </xdr:spPr>
    </xdr:pic>
    <xdr:clientData/>
  </xdr:twoCellAnchor>
  <xdr:twoCellAnchor editAs="oneCell">
    <xdr:from>
      <xdr:col>4</xdr:col>
      <xdr:colOff>733425</xdr:colOff>
      <xdr:row>34</xdr:row>
      <xdr:rowOff>491012</xdr:rowOff>
    </xdr:from>
    <xdr:to>
      <xdr:col>4</xdr:col>
      <xdr:colOff>2397851</xdr:colOff>
      <xdr:row>35</xdr:row>
      <xdr:rowOff>382007</xdr:rowOff>
    </xdr:to>
    <xdr:pic>
      <xdr:nvPicPr>
        <xdr:cNvPr id="7" name="Picture 6">
          <a:extLst>
            <a:ext uri="{FF2B5EF4-FFF2-40B4-BE49-F238E27FC236}">
              <a16:creationId xmlns:a16="http://schemas.microsoft.com/office/drawing/2014/main" id="{0F71CE0A-D1D2-450C-9A4E-E1766E0A9CF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34000" y="12073412"/>
          <a:ext cx="1664426" cy="42439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914400</xdr:colOff>
      <xdr:row>25</xdr:row>
      <xdr:rowOff>129062</xdr:rowOff>
    </xdr:from>
    <xdr:to>
      <xdr:col>6</xdr:col>
      <xdr:colOff>1521551</xdr:colOff>
      <xdr:row>28</xdr:row>
      <xdr:rowOff>67682</xdr:rowOff>
    </xdr:to>
    <xdr:pic>
      <xdr:nvPicPr>
        <xdr:cNvPr id="2" name="Picture 1">
          <a:extLst>
            <a:ext uri="{FF2B5EF4-FFF2-40B4-BE49-F238E27FC236}">
              <a16:creationId xmlns:a16="http://schemas.microsoft.com/office/drawing/2014/main" id="{9A5F5B8A-EC28-41FA-B166-F145A146DD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14975" y="18759962"/>
          <a:ext cx="1664426" cy="424395"/>
        </a:xfrm>
        <a:prstGeom prst="rect">
          <a:avLst/>
        </a:prstGeom>
      </xdr:spPr>
    </xdr:pic>
    <xdr:clientData/>
  </xdr:twoCellAnchor>
  <xdr:twoCellAnchor editAs="oneCell">
    <xdr:from>
      <xdr:col>21</xdr:col>
      <xdr:colOff>666750</xdr:colOff>
      <xdr:row>0</xdr:row>
      <xdr:rowOff>0</xdr:rowOff>
    </xdr:from>
    <xdr:to>
      <xdr:col>23</xdr:col>
      <xdr:colOff>620491</xdr:colOff>
      <xdr:row>1</xdr:row>
      <xdr:rowOff>9525</xdr:rowOff>
    </xdr:to>
    <xdr:pic>
      <xdr:nvPicPr>
        <xdr:cNvPr id="3" name="Picture 2">
          <a:extLst>
            <a:ext uri="{FF2B5EF4-FFF2-40B4-BE49-F238E27FC236}">
              <a16:creationId xmlns:a16="http://schemas.microsoft.com/office/drawing/2014/main" id="{000AA68B-95A9-4EEB-BCEF-0F359566CD1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183975" y="0"/>
          <a:ext cx="1572991" cy="4762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714375</xdr:colOff>
      <xdr:row>0</xdr:row>
      <xdr:rowOff>114300</xdr:rowOff>
    </xdr:from>
    <xdr:to>
      <xdr:col>7</xdr:col>
      <xdr:colOff>70089</xdr:colOff>
      <xdr:row>5</xdr:row>
      <xdr:rowOff>86278</xdr:rowOff>
    </xdr:to>
    <xdr:pic>
      <xdr:nvPicPr>
        <xdr:cNvPr id="2" name="Picture 1">
          <a:extLst>
            <a:ext uri="{FF2B5EF4-FFF2-40B4-BE49-F238E27FC236}">
              <a16:creationId xmlns:a16="http://schemas.microsoft.com/office/drawing/2014/main" id="{FA98B2D4-FFD4-4CF9-ABBB-4DA99BBD8E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2550" y="114300"/>
          <a:ext cx="2927589" cy="886378"/>
        </a:xfrm>
        <a:prstGeom prst="rect">
          <a:avLst/>
        </a:prstGeom>
      </xdr:spPr>
    </xdr:pic>
    <xdr:clientData/>
  </xdr:twoCellAnchor>
  <xdr:twoCellAnchor editAs="oneCell">
    <xdr:from>
      <xdr:col>5</xdr:col>
      <xdr:colOff>714375</xdr:colOff>
      <xdr:row>37</xdr:row>
      <xdr:rowOff>85725</xdr:rowOff>
    </xdr:from>
    <xdr:to>
      <xdr:col>6</xdr:col>
      <xdr:colOff>1188176</xdr:colOff>
      <xdr:row>40</xdr:row>
      <xdr:rowOff>24345</xdr:rowOff>
    </xdr:to>
    <xdr:pic>
      <xdr:nvPicPr>
        <xdr:cNvPr id="3" name="Picture 2">
          <a:extLst>
            <a:ext uri="{FF2B5EF4-FFF2-40B4-BE49-F238E27FC236}">
              <a16:creationId xmlns:a16="http://schemas.microsoft.com/office/drawing/2014/main" id="{BDA23FD2-2374-4322-BC63-E7E4C0D24EB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53175" y="7181850"/>
          <a:ext cx="1664426" cy="42439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714375</xdr:colOff>
      <xdr:row>0</xdr:row>
      <xdr:rowOff>85725</xdr:rowOff>
    </xdr:from>
    <xdr:to>
      <xdr:col>7</xdr:col>
      <xdr:colOff>70089</xdr:colOff>
      <xdr:row>5</xdr:row>
      <xdr:rowOff>57703</xdr:rowOff>
    </xdr:to>
    <xdr:pic>
      <xdr:nvPicPr>
        <xdr:cNvPr id="2" name="Picture 1">
          <a:extLst>
            <a:ext uri="{FF2B5EF4-FFF2-40B4-BE49-F238E27FC236}">
              <a16:creationId xmlns:a16="http://schemas.microsoft.com/office/drawing/2014/main" id="{0D1A2153-FBDB-4DDA-9BD7-739133D337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67225" y="85725"/>
          <a:ext cx="2927589" cy="886378"/>
        </a:xfrm>
        <a:prstGeom prst="rect">
          <a:avLst/>
        </a:prstGeom>
      </xdr:spPr>
    </xdr:pic>
    <xdr:clientData/>
  </xdr:twoCellAnchor>
  <xdr:twoCellAnchor editAs="oneCell">
    <xdr:from>
      <xdr:col>5</xdr:col>
      <xdr:colOff>714375</xdr:colOff>
      <xdr:row>45</xdr:row>
      <xdr:rowOff>0</xdr:rowOff>
    </xdr:from>
    <xdr:to>
      <xdr:col>6</xdr:col>
      <xdr:colOff>1188176</xdr:colOff>
      <xdr:row>47</xdr:row>
      <xdr:rowOff>100545</xdr:rowOff>
    </xdr:to>
    <xdr:pic>
      <xdr:nvPicPr>
        <xdr:cNvPr id="3" name="Picture 2">
          <a:extLst>
            <a:ext uri="{FF2B5EF4-FFF2-40B4-BE49-F238E27FC236}">
              <a16:creationId xmlns:a16="http://schemas.microsoft.com/office/drawing/2014/main" id="{328BCC47-5909-4D58-A147-4926CF0F317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53175" y="7181850"/>
          <a:ext cx="1664426" cy="4243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914400</xdr:colOff>
      <xdr:row>38</xdr:row>
      <xdr:rowOff>129062</xdr:rowOff>
    </xdr:from>
    <xdr:to>
      <xdr:col>5</xdr:col>
      <xdr:colOff>454751</xdr:colOff>
      <xdr:row>41</xdr:row>
      <xdr:rowOff>67682</xdr:rowOff>
    </xdr:to>
    <xdr:pic>
      <xdr:nvPicPr>
        <xdr:cNvPr id="2" name="Picture 1">
          <a:extLst>
            <a:ext uri="{FF2B5EF4-FFF2-40B4-BE49-F238E27FC236}">
              <a16:creationId xmlns:a16="http://schemas.microsoft.com/office/drawing/2014/main" id="{DBF672E3-B3FE-4F4F-87B7-8A083DBF64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14975" y="18759962"/>
          <a:ext cx="1664426" cy="424395"/>
        </a:xfrm>
        <a:prstGeom prst="rect">
          <a:avLst/>
        </a:prstGeom>
      </xdr:spPr>
    </xdr:pic>
    <xdr:clientData/>
  </xdr:twoCellAnchor>
  <xdr:twoCellAnchor editAs="oneCell">
    <xdr:from>
      <xdr:col>5</xdr:col>
      <xdr:colOff>1047750</xdr:colOff>
      <xdr:row>0</xdr:row>
      <xdr:rowOff>0</xdr:rowOff>
    </xdr:from>
    <xdr:to>
      <xdr:col>6</xdr:col>
      <xdr:colOff>10891</xdr:colOff>
      <xdr:row>1</xdr:row>
      <xdr:rowOff>0</xdr:rowOff>
    </xdr:to>
    <xdr:pic>
      <xdr:nvPicPr>
        <xdr:cNvPr id="3" name="Picture 2">
          <a:extLst>
            <a:ext uri="{FF2B5EF4-FFF2-40B4-BE49-F238E27FC236}">
              <a16:creationId xmlns:a16="http://schemas.microsoft.com/office/drawing/2014/main" id="{E6075330-BE49-46B1-A29F-0089EFA46FA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72450" y="0"/>
          <a:ext cx="1572991" cy="476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466725</xdr:colOff>
      <xdr:row>0</xdr:row>
      <xdr:rowOff>114300</xdr:rowOff>
    </xdr:from>
    <xdr:to>
      <xdr:col>5</xdr:col>
      <xdr:colOff>70089</xdr:colOff>
      <xdr:row>5</xdr:row>
      <xdr:rowOff>86278</xdr:rowOff>
    </xdr:to>
    <xdr:pic>
      <xdr:nvPicPr>
        <xdr:cNvPr id="2" name="Picture 1">
          <a:extLst>
            <a:ext uri="{FF2B5EF4-FFF2-40B4-BE49-F238E27FC236}">
              <a16:creationId xmlns:a16="http://schemas.microsoft.com/office/drawing/2014/main" id="{E708C688-6E51-44D5-B2EB-3A3849D32F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5800" y="114300"/>
          <a:ext cx="2927589" cy="886378"/>
        </a:xfrm>
        <a:prstGeom prst="rect">
          <a:avLst/>
        </a:prstGeom>
      </xdr:spPr>
    </xdr:pic>
    <xdr:clientData/>
  </xdr:twoCellAnchor>
  <xdr:twoCellAnchor editAs="oneCell">
    <xdr:from>
      <xdr:col>4</xdr:col>
      <xdr:colOff>228600</xdr:colOff>
      <xdr:row>19</xdr:row>
      <xdr:rowOff>114300</xdr:rowOff>
    </xdr:from>
    <xdr:to>
      <xdr:col>4</xdr:col>
      <xdr:colOff>1893026</xdr:colOff>
      <xdr:row>22</xdr:row>
      <xdr:rowOff>52920</xdr:rowOff>
    </xdr:to>
    <xdr:pic>
      <xdr:nvPicPr>
        <xdr:cNvPr id="3" name="Picture 2">
          <a:extLst>
            <a:ext uri="{FF2B5EF4-FFF2-40B4-BE49-F238E27FC236}">
              <a16:creationId xmlns:a16="http://schemas.microsoft.com/office/drawing/2014/main" id="{FFA987C0-7170-4430-BDC3-DB666B3C095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19750" y="3467100"/>
          <a:ext cx="1664426" cy="4243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914400</xdr:colOff>
      <xdr:row>55</xdr:row>
      <xdr:rowOff>129062</xdr:rowOff>
    </xdr:from>
    <xdr:to>
      <xdr:col>7</xdr:col>
      <xdr:colOff>473801</xdr:colOff>
      <xdr:row>58</xdr:row>
      <xdr:rowOff>67682</xdr:rowOff>
    </xdr:to>
    <xdr:pic>
      <xdr:nvPicPr>
        <xdr:cNvPr id="2" name="Picture 1">
          <a:extLst>
            <a:ext uri="{FF2B5EF4-FFF2-40B4-BE49-F238E27FC236}">
              <a16:creationId xmlns:a16="http://schemas.microsoft.com/office/drawing/2014/main" id="{223C6C8A-B192-460A-A2D1-9EAA234B29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14975" y="18759962"/>
          <a:ext cx="1664426" cy="424395"/>
        </a:xfrm>
        <a:prstGeom prst="rect">
          <a:avLst/>
        </a:prstGeom>
      </xdr:spPr>
    </xdr:pic>
    <xdr:clientData/>
  </xdr:twoCellAnchor>
  <xdr:twoCellAnchor editAs="oneCell">
    <xdr:from>
      <xdr:col>17</xdr:col>
      <xdr:colOff>809625</xdr:colOff>
      <xdr:row>0</xdr:row>
      <xdr:rowOff>0</xdr:rowOff>
    </xdr:from>
    <xdr:to>
      <xdr:col>20</xdr:col>
      <xdr:colOff>29941</xdr:colOff>
      <xdr:row>1</xdr:row>
      <xdr:rowOff>0</xdr:rowOff>
    </xdr:to>
    <xdr:pic>
      <xdr:nvPicPr>
        <xdr:cNvPr id="3" name="Picture 2">
          <a:extLst>
            <a:ext uri="{FF2B5EF4-FFF2-40B4-BE49-F238E27FC236}">
              <a16:creationId xmlns:a16="http://schemas.microsoft.com/office/drawing/2014/main" id="{C769A26C-175F-4CCF-A5DD-727621E434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249150" y="0"/>
          <a:ext cx="1572991" cy="476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914400</xdr:colOff>
      <xdr:row>56</xdr:row>
      <xdr:rowOff>129062</xdr:rowOff>
    </xdr:from>
    <xdr:to>
      <xdr:col>6</xdr:col>
      <xdr:colOff>607151</xdr:colOff>
      <xdr:row>59</xdr:row>
      <xdr:rowOff>1007</xdr:rowOff>
    </xdr:to>
    <xdr:pic>
      <xdr:nvPicPr>
        <xdr:cNvPr id="2" name="Picture 1">
          <a:extLst>
            <a:ext uri="{FF2B5EF4-FFF2-40B4-BE49-F238E27FC236}">
              <a16:creationId xmlns:a16="http://schemas.microsoft.com/office/drawing/2014/main" id="{C35AD7B1-A754-4214-A47B-540B441632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14975" y="18759962"/>
          <a:ext cx="1664426" cy="424395"/>
        </a:xfrm>
        <a:prstGeom prst="rect">
          <a:avLst/>
        </a:prstGeom>
      </xdr:spPr>
    </xdr:pic>
    <xdr:clientData/>
  </xdr:twoCellAnchor>
  <xdr:twoCellAnchor editAs="oneCell">
    <xdr:from>
      <xdr:col>15</xdr:col>
      <xdr:colOff>19050</xdr:colOff>
      <xdr:row>0</xdr:row>
      <xdr:rowOff>0</xdr:rowOff>
    </xdr:from>
    <xdr:to>
      <xdr:col>17</xdr:col>
      <xdr:colOff>58516</xdr:colOff>
      <xdr:row>1</xdr:row>
      <xdr:rowOff>0</xdr:rowOff>
    </xdr:to>
    <xdr:pic>
      <xdr:nvPicPr>
        <xdr:cNvPr id="3" name="Picture 2">
          <a:extLst>
            <a:ext uri="{FF2B5EF4-FFF2-40B4-BE49-F238E27FC236}">
              <a16:creationId xmlns:a16="http://schemas.microsoft.com/office/drawing/2014/main" id="{64808100-F357-42D0-AD59-AB52DCB68B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868275" y="0"/>
          <a:ext cx="1572991" cy="476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914400</xdr:colOff>
      <xdr:row>35</xdr:row>
      <xdr:rowOff>129062</xdr:rowOff>
    </xdr:from>
    <xdr:to>
      <xdr:col>6</xdr:col>
      <xdr:colOff>588101</xdr:colOff>
      <xdr:row>38</xdr:row>
      <xdr:rowOff>67682</xdr:rowOff>
    </xdr:to>
    <xdr:pic>
      <xdr:nvPicPr>
        <xdr:cNvPr id="2" name="Picture 1">
          <a:extLst>
            <a:ext uri="{FF2B5EF4-FFF2-40B4-BE49-F238E27FC236}">
              <a16:creationId xmlns:a16="http://schemas.microsoft.com/office/drawing/2014/main" id="{AD8F9690-FA8F-4E1D-8B23-0CE080DF66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14975" y="18759962"/>
          <a:ext cx="1664426" cy="424395"/>
        </a:xfrm>
        <a:prstGeom prst="rect">
          <a:avLst/>
        </a:prstGeom>
      </xdr:spPr>
    </xdr:pic>
    <xdr:clientData/>
  </xdr:twoCellAnchor>
  <xdr:twoCellAnchor editAs="oneCell">
    <xdr:from>
      <xdr:col>14</xdr:col>
      <xdr:colOff>666750</xdr:colOff>
      <xdr:row>0</xdr:row>
      <xdr:rowOff>0</xdr:rowOff>
    </xdr:from>
    <xdr:to>
      <xdr:col>17</xdr:col>
      <xdr:colOff>20416</xdr:colOff>
      <xdr:row>1</xdr:row>
      <xdr:rowOff>0</xdr:rowOff>
    </xdr:to>
    <xdr:pic>
      <xdr:nvPicPr>
        <xdr:cNvPr id="3" name="Picture 2">
          <a:extLst>
            <a:ext uri="{FF2B5EF4-FFF2-40B4-BE49-F238E27FC236}">
              <a16:creationId xmlns:a16="http://schemas.microsoft.com/office/drawing/2014/main" id="{5C8A0697-3361-4B34-A9DF-C9E74225B47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73025" y="0"/>
          <a:ext cx="1572991" cy="4762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914400</xdr:colOff>
      <xdr:row>35</xdr:row>
      <xdr:rowOff>129062</xdr:rowOff>
    </xdr:from>
    <xdr:to>
      <xdr:col>6</xdr:col>
      <xdr:colOff>588101</xdr:colOff>
      <xdr:row>38</xdr:row>
      <xdr:rowOff>67682</xdr:rowOff>
    </xdr:to>
    <xdr:pic>
      <xdr:nvPicPr>
        <xdr:cNvPr id="2" name="Picture 1">
          <a:extLst>
            <a:ext uri="{FF2B5EF4-FFF2-40B4-BE49-F238E27FC236}">
              <a16:creationId xmlns:a16="http://schemas.microsoft.com/office/drawing/2014/main" id="{1946031A-4122-42B9-B717-E0A5DC332B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14975" y="18759962"/>
          <a:ext cx="1664426" cy="424395"/>
        </a:xfrm>
        <a:prstGeom prst="rect">
          <a:avLst/>
        </a:prstGeom>
      </xdr:spPr>
    </xdr:pic>
    <xdr:clientData/>
  </xdr:twoCellAnchor>
  <xdr:twoCellAnchor editAs="oneCell">
    <xdr:from>
      <xdr:col>15</xdr:col>
      <xdr:colOff>628650</xdr:colOff>
      <xdr:row>0</xdr:row>
      <xdr:rowOff>0</xdr:rowOff>
    </xdr:from>
    <xdr:to>
      <xdr:col>17</xdr:col>
      <xdr:colOff>620491</xdr:colOff>
      <xdr:row>1</xdr:row>
      <xdr:rowOff>0</xdr:rowOff>
    </xdr:to>
    <xdr:pic>
      <xdr:nvPicPr>
        <xdr:cNvPr id="3" name="Picture 2">
          <a:extLst>
            <a:ext uri="{FF2B5EF4-FFF2-40B4-BE49-F238E27FC236}">
              <a16:creationId xmlns:a16="http://schemas.microsoft.com/office/drawing/2014/main" id="{4306246F-CB66-43A4-B3BD-1A3653C6F1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163675" y="0"/>
          <a:ext cx="1572991" cy="4762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914400</xdr:colOff>
      <xdr:row>35</xdr:row>
      <xdr:rowOff>129062</xdr:rowOff>
    </xdr:from>
    <xdr:to>
      <xdr:col>6</xdr:col>
      <xdr:colOff>588101</xdr:colOff>
      <xdr:row>38</xdr:row>
      <xdr:rowOff>67682</xdr:rowOff>
    </xdr:to>
    <xdr:pic>
      <xdr:nvPicPr>
        <xdr:cNvPr id="2" name="Picture 1">
          <a:extLst>
            <a:ext uri="{FF2B5EF4-FFF2-40B4-BE49-F238E27FC236}">
              <a16:creationId xmlns:a16="http://schemas.microsoft.com/office/drawing/2014/main" id="{6781F140-D3FD-4376-A3E1-199350AEFD6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6350" y="6758462"/>
          <a:ext cx="1664426" cy="424395"/>
        </a:xfrm>
        <a:prstGeom prst="rect">
          <a:avLst/>
        </a:prstGeom>
      </xdr:spPr>
    </xdr:pic>
    <xdr:clientData/>
  </xdr:twoCellAnchor>
  <xdr:twoCellAnchor editAs="oneCell">
    <xdr:from>
      <xdr:col>15</xdr:col>
      <xdr:colOff>628650</xdr:colOff>
      <xdr:row>0</xdr:row>
      <xdr:rowOff>0</xdr:rowOff>
    </xdr:from>
    <xdr:to>
      <xdr:col>17</xdr:col>
      <xdr:colOff>620491</xdr:colOff>
      <xdr:row>1</xdr:row>
      <xdr:rowOff>0</xdr:rowOff>
    </xdr:to>
    <xdr:pic>
      <xdr:nvPicPr>
        <xdr:cNvPr id="3" name="Picture 2">
          <a:extLst>
            <a:ext uri="{FF2B5EF4-FFF2-40B4-BE49-F238E27FC236}">
              <a16:creationId xmlns:a16="http://schemas.microsoft.com/office/drawing/2014/main" id="{18826F9D-35DF-45B5-859E-8A2C05FA7EA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163675" y="0"/>
          <a:ext cx="1572991" cy="4762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914400</xdr:colOff>
      <xdr:row>35</xdr:row>
      <xdr:rowOff>129062</xdr:rowOff>
    </xdr:from>
    <xdr:to>
      <xdr:col>6</xdr:col>
      <xdr:colOff>588101</xdr:colOff>
      <xdr:row>38</xdr:row>
      <xdr:rowOff>67682</xdr:rowOff>
    </xdr:to>
    <xdr:pic>
      <xdr:nvPicPr>
        <xdr:cNvPr id="2" name="Picture 1">
          <a:extLst>
            <a:ext uri="{FF2B5EF4-FFF2-40B4-BE49-F238E27FC236}">
              <a16:creationId xmlns:a16="http://schemas.microsoft.com/office/drawing/2014/main" id="{BA2729B5-D607-49E0-A022-A486EF9E3C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14975" y="18759962"/>
          <a:ext cx="1664426" cy="424395"/>
        </a:xfrm>
        <a:prstGeom prst="rect">
          <a:avLst/>
        </a:prstGeom>
      </xdr:spPr>
    </xdr:pic>
    <xdr:clientData/>
  </xdr:twoCellAnchor>
  <xdr:twoCellAnchor editAs="oneCell">
    <xdr:from>
      <xdr:col>14</xdr:col>
      <xdr:colOff>647700</xdr:colOff>
      <xdr:row>0</xdr:row>
      <xdr:rowOff>0</xdr:rowOff>
    </xdr:from>
    <xdr:to>
      <xdr:col>17</xdr:col>
      <xdr:colOff>1366</xdr:colOff>
      <xdr:row>1</xdr:row>
      <xdr:rowOff>0</xdr:rowOff>
    </xdr:to>
    <xdr:pic>
      <xdr:nvPicPr>
        <xdr:cNvPr id="3" name="Picture 2">
          <a:extLst>
            <a:ext uri="{FF2B5EF4-FFF2-40B4-BE49-F238E27FC236}">
              <a16:creationId xmlns:a16="http://schemas.microsoft.com/office/drawing/2014/main" id="{DB9CA431-5EE0-44CD-85EC-B0A1FBF3F51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00" y="0"/>
          <a:ext cx="1572991" cy="476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pencer_kurtz_aptim_com/Documents/Desktop/ENO%20Program%20Files/Program%20Calculator%20Templates/2024/Energy_Smart_Non-Lighting_Workbook_v3.1%20-%20Unlocked.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personal/spencer_kurtz_aptim_com/Documents/Desktop/ELL%20Program%20Files/Program%20Template%20Docs%20&amp;%20Calculators/2024%20Template%20Calculators/ELL_Non-Lighting%20Workbook_Unprotected_2024%20v4.3.xlsx?13C3DDEE" TargetMode="External"/><Relationship Id="rId1" Type="http://schemas.openxmlformats.org/officeDocument/2006/relationships/externalLinkPath" Target="file:///\\13C3DDEE\ELL_Non-Lighting%20Workbook_Unprotected_2024%20v4.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ptimcorp.sharepoint.com/personal/andrew_sheaffer_aptim_com/_vti_history/121856/Documents/Documents/Files/Calc%20rework/ENO%20Combined%20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Application"/>
      <sheetName val="Signature"/>
      <sheetName val="HVAC"/>
      <sheetName val="Refrigeration"/>
      <sheetName val="Com Kitchen"/>
      <sheetName val="Window Film"/>
      <sheetName val="Efficient Windows"/>
      <sheetName val="Misc"/>
      <sheetName val="Custom"/>
      <sheetName val="Summary"/>
      <sheetName val="Completion"/>
      <sheetName val="References"/>
      <sheetName val="HVAC Calcs"/>
      <sheetName val="Caps"/>
      <sheetName val="QC"/>
      <sheetName val="Proj Data"/>
      <sheetName val="APTracks Export Data"/>
      <sheetName val="Change Log"/>
      <sheetName val="Energy_Smart_Non-Lighting_Workb"/>
    </sheetNames>
    <sheetDataSet>
      <sheetData sheetId="0"/>
      <sheetData sheetId="1"/>
      <sheetData sheetId="2"/>
      <sheetData sheetId="3"/>
      <sheetData sheetId="4"/>
      <sheetData sheetId="5"/>
      <sheetData sheetId="6"/>
      <sheetData sheetId="7"/>
      <sheetData sheetId="8"/>
      <sheetData sheetId="9"/>
      <sheetData sheetId="10">
        <row r="11">
          <cell r="C11">
            <v>363766</v>
          </cell>
          <cell r="D11">
            <v>134172</v>
          </cell>
          <cell r="E11">
            <v>229594</v>
          </cell>
          <cell r="F11">
            <v>932865.01261266111</v>
          </cell>
        </row>
      </sheetData>
      <sheetData sheetId="11"/>
      <sheetData sheetId="12">
        <row r="3">
          <cell r="B3">
            <v>200000</v>
          </cell>
        </row>
        <row r="4">
          <cell r="Z4" t="str">
            <v xml:space="preserve">Corporation </v>
          </cell>
          <cell r="AA4" t="str">
            <v>Individual/Sole Proprietor</v>
          </cell>
          <cell r="AB4" t="str">
            <v>Yes</v>
          </cell>
          <cell r="AD4" t="str">
            <v>No</v>
          </cell>
          <cell r="AE4" t="str">
            <v>Pre-Retrofit</v>
          </cell>
          <cell r="AF4" t="str">
            <v>Contractor Install</v>
          </cell>
          <cell r="AH4" t="str">
            <v>Leisure Dining: Bar Area</v>
          </cell>
          <cell r="AI4" t="str">
            <v>A/C with gas heat</v>
          </cell>
          <cell r="AJ4" t="str">
            <v>Electric</v>
          </cell>
          <cell r="AK4" t="str">
            <v>Customer</v>
          </cell>
          <cell r="AL4" t="str">
            <v>Bill Insert</v>
          </cell>
          <cell r="AN4" t="str">
            <v>High Eff. AC Unit</v>
          </cell>
          <cell r="AO4" t="str">
            <v>ECM Motor for Freezer or Cooler</v>
          </cell>
          <cell r="AP4" t="str">
            <v>ENERGY STAR Commercial Electric Fryer</v>
          </cell>
          <cell r="AQ4" t="str">
            <v>Window film, gas heat w/AC</v>
          </cell>
          <cell r="AR4" t="str">
            <v>Premium Windows</v>
          </cell>
          <cell r="AS4" t="str">
            <v>Computer Power Management</v>
          </cell>
          <cell r="AT4" t="str">
            <v>East</v>
          </cell>
          <cell r="AU4" t="str">
            <v>North</v>
          </cell>
          <cell r="AV4" t="str">
            <v>Retrofit</v>
          </cell>
          <cell r="AW4" t="str">
            <v>New Air Handling Unit</v>
          </cell>
          <cell r="AX4" t="str">
            <v>Gas heat w/AC</v>
          </cell>
        </row>
        <row r="5">
          <cell r="Z5" t="str">
            <v>LLC, C,S,P</v>
          </cell>
          <cell r="AA5" t="str">
            <v>LLC</v>
          </cell>
          <cell r="AB5" t="str">
            <v>No</v>
          </cell>
          <cell r="AD5" t="str">
            <v>Unknown</v>
          </cell>
          <cell r="AE5" t="str">
            <v>Post-Retrofit</v>
          </cell>
          <cell r="AF5" t="str">
            <v>Self Install</v>
          </cell>
          <cell r="AH5" t="str">
            <v>Corridor/Hallway/Stairwell</v>
          </cell>
          <cell r="AI5" t="str">
            <v>A/C with electric resistance heat</v>
          </cell>
          <cell r="AJ5" t="str">
            <v>Natural Gas</v>
          </cell>
          <cell r="AK5" t="str">
            <v>Trade Ally/Contractor</v>
          </cell>
          <cell r="AL5" t="str">
            <v>Calling Campaign</v>
          </cell>
          <cell r="AN5" t="str">
            <v>High Eff. Heat Pump Unit</v>
          </cell>
          <cell r="AO5" t="str">
            <v>Evaporator Fan Controller for Freezer or Cooler</v>
          </cell>
          <cell r="AP5" t="str">
            <v>ENERGY STAR Commercial Electric Steam Cooker</v>
          </cell>
          <cell r="AQ5" t="str">
            <v>Window film, heat pump heating/cooling</v>
          </cell>
          <cell r="AR5" t="str">
            <v>Efficient Windows</v>
          </cell>
          <cell r="AS5" t="str">
            <v>Advanced Power Strips</v>
          </cell>
          <cell r="AT5" t="str">
            <v>South</v>
          </cell>
          <cell r="AU5" t="str">
            <v>South</v>
          </cell>
          <cell r="AV5" t="str">
            <v>Replacement</v>
          </cell>
          <cell r="AW5" t="str">
            <v xml:space="preserve">New Air-Cooled Chiller </v>
          </cell>
          <cell r="AX5" t="str">
            <v>Heat pump heating/cooling</v>
          </cell>
        </row>
        <row r="6">
          <cell r="B6">
            <v>0.15</v>
          </cell>
          <cell r="Z6" t="str">
            <v>Individual/Sole Proprietorship</v>
          </cell>
          <cell r="AA6" t="str">
            <v>Corporation</v>
          </cell>
          <cell r="AB6" t="str">
            <v>Unknown</v>
          </cell>
          <cell r="AD6" t="str">
            <v>Yes-DOT Disadvantaged Business Enterprise</v>
          </cell>
          <cell r="AF6" t="str">
            <v>Direct Install</v>
          </cell>
          <cell r="AH6" t="str">
            <v>Education: College/University</v>
          </cell>
          <cell r="AI6" t="str">
            <v>A/C with heat pump heat</v>
          </cell>
          <cell r="AJ6" t="str">
            <v>Oil</v>
          </cell>
          <cell r="AK6" t="str">
            <v>Additional Contact</v>
          </cell>
          <cell r="AL6" t="str">
            <v>Direct Mail</v>
          </cell>
          <cell r="AN6" t="str">
            <v>High Eff. Packaged Terminal AC (PTAC) Unit</v>
          </cell>
          <cell r="AO6" t="str">
            <v>Anti-Sweat Heater Controls for Freezer or Cooler</v>
          </cell>
          <cell r="AP6" t="str">
            <v>ENERGY STAR Electric Convection Oven</v>
          </cell>
          <cell r="AQ6" t="str">
            <v>Window film, electric resistance heat w/AC</v>
          </cell>
          <cell r="AS6" t="str">
            <v>Low-Flow Faucet Aerators</v>
          </cell>
          <cell r="AT6" t="str">
            <v>West</v>
          </cell>
          <cell r="AU6" t="str">
            <v>West</v>
          </cell>
          <cell r="AV6" t="str">
            <v>New Equipment</v>
          </cell>
          <cell r="AW6" t="str">
            <v xml:space="preserve">New Water-Cooled Chiller </v>
          </cell>
          <cell r="AX6" t="str">
            <v>Electric resistance heat w/AC</v>
          </cell>
        </row>
        <row r="7">
          <cell r="Z7" t="str">
            <v>Partnership</v>
          </cell>
          <cell r="AA7" t="str">
            <v>Partnership</v>
          </cell>
          <cell r="AD7" t="str">
            <v>Yes-Disabled Veteran-Owned Business Enterprise (DVET)</v>
          </cell>
          <cell r="AF7" t="str">
            <v>Other</v>
          </cell>
          <cell r="AH7" t="str">
            <v>Education: K-12</v>
          </cell>
          <cell r="AI7" t="str">
            <v>A/C with no heat</v>
          </cell>
          <cell r="AJ7" t="str">
            <v>Propane</v>
          </cell>
          <cell r="AK7" t="str">
            <v>Job Site</v>
          </cell>
          <cell r="AL7" t="str">
            <v>Energy Advisor</v>
          </cell>
          <cell r="AN7" t="str">
            <v>High Eff. Packaged Terminal HP (PTHP) Unit</v>
          </cell>
          <cell r="AO7" t="str">
            <v>Refrigerated Case Night Covers</v>
          </cell>
          <cell r="AP7" t="str">
            <v>ENERGY STAR Electric Griddle</v>
          </cell>
          <cell r="AS7" t="str">
            <v>Low-Flow Shower Heads</v>
          </cell>
          <cell r="AU7" t="str">
            <v>East</v>
          </cell>
          <cell r="AW7" t="str">
            <v xml:space="preserve">New Packaged/Rooftop Unit </v>
          </cell>
        </row>
        <row r="8">
          <cell r="B8" t="str">
            <v>Version 3.1</v>
          </cell>
          <cell r="Z8" t="str">
            <v>Trust/Estate</v>
          </cell>
          <cell r="AA8" t="str">
            <v>Trust/estate</v>
          </cell>
          <cell r="AD8" t="str">
            <v>Yes-Veteran-Owned Business Enterprise (VBE)</v>
          </cell>
          <cell r="AH8" t="str">
            <v>Exterior/Outdoors/Parking Lot</v>
          </cell>
          <cell r="AI8" t="str">
            <v>Refrigerated space (33-41°F)</v>
          </cell>
          <cell r="AJ8" t="str">
            <v>Steam</v>
          </cell>
          <cell r="AL8" t="str">
            <v>Event/Trade Show</v>
          </cell>
          <cell r="AN8" t="str">
            <v>Guestroom Energy Management Controls</v>
          </cell>
          <cell r="AO8" t="str">
            <v>ENERGY STAR Solid Door Refrigerator</v>
          </cell>
          <cell r="AP8" t="str">
            <v>Food Service Kitchen Exhaust Controls</v>
          </cell>
          <cell r="AW8" t="str">
            <v xml:space="preserve">New Fan Motors (Efficient) </v>
          </cell>
        </row>
        <row r="9">
          <cell r="Z9" t="str">
            <v>Non-Profit</v>
          </cell>
          <cell r="AA9" t="str">
            <v>Exempt</v>
          </cell>
          <cell r="AD9" t="str">
            <v>Yes-Woman-Owned Business Enterprise (WBE)</v>
          </cell>
          <cell r="AH9" t="str">
            <v>Food Sales: 24-Hour Supermarket</v>
          </cell>
          <cell r="AI9" t="str">
            <v>Freezer space (-10-10°F)</v>
          </cell>
          <cell r="AJ9" t="str">
            <v>Other</v>
          </cell>
          <cell r="AL9" t="str">
            <v>Search Engine</v>
          </cell>
          <cell r="AN9" t="str">
            <v>Smart Thermostats for Small Business</v>
          </cell>
          <cell r="AO9" t="str">
            <v>ENERGY STAR Solid Door Freezer</v>
          </cell>
          <cell r="AP9" t="str">
            <v>ENERGY STAR Commercial Dishwasher</v>
          </cell>
          <cell r="AW9" t="str">
            <v xml:space="preserve">New Pump Motors (Efficient) </v>
          </cell>
        </row>
        <row r="10">
          <cell r="Z10" t="str">
            <v>Other</v>
          </cell>
          <cell r="AD10" t="str">
            <v>Yes-SBA 8(a) program</v>
          </cell>
          <cell r="AH10" t="str">
            <v>Food Sales: Non 24-Hour Supermarket</v>
          </cell>
          <cell r="AI10" t="str">
            <v>N/A (Unconditioned)</v>
          </cell>
          <cell r="AJ10" t="str">
            <v>Not Applicable</v>
          </cell>
          <cell r="AL10" t="str">
            <v>SMS Text</v>
          </cell>
          <cell r="AN10" t="str">
            <v>Commercial Duct Sealing</v>
          </cell>
          <cell r="AO10" t="str">
            <v>Strip Curtains for Walk-In Coolers</v>
          </cell>
          <cell r="AP10" t="str">
            <v>Pre-Rinse Spray Valves</v>
          </cell>
          <cell r="AW10" t="str">
            <v>New Fan Coil Unit</v>
          </cell>
        </row>
        <row r="11">
          <cell r="AD11" t="str">
            <v>Yes-SMA Small Disadvantaged Business Enterprise (SDB)</v>
          </cell>
          <cell r="AH11" t="str">
            <v>Food Service: Fast Food</v>
          </cell>
          <cell r="AL11" t="str">
            <v>Social Media</v>
          </cell>
          <cell r="AN11" t="str">
            <v>High Eff. Air-Cooled Chiller</v>
          </cell>
          <cell r="AO11" t="str">
            <v>Strip Curtains for Walk-In Freezers</v>
          </cell>
          <cell r="AW11" t="str">
            <v xml:space="preserve">New Cooling Tower </v>
          </cell>
        </row>
        <row r="12">
          <cell r="AD12" t="str">
            <v>Yes-SBA HubZone Business Enterprise (HubZone)</v>
          </cell>
          <cell r="AH12" t="str">
            <v>Food Service: Sit-Down Restaurant</v>
          </cell>
          <cell r="AL12" t="str">
            <v>Utility Website</v>
          </cell>
          <cell r="AN12" t="str">
            <v>High Eff. Positive Displacement Water-Cooled Chiller</v>
          </cell>
          <cell r="AO12" t="str">
            <v>Strip Curtains for Refrigerated Warehouse Doors</v>
          </cell>
          <cell r="AW12" t="str">
            <v>New Cooling Tower and Chiller</v>
          </cell>
        </row>
        <row r="13">
          <cell r="AD13" t="str">
            <v>Yes-LGBT-Owned Business Enterprise</v>
          </cell>
          <cell r="AH13" t="str">
            <v>Health Care: In-Patient</v>
          </cell>
          <cell r="AL13" t="str">
            <v>Other</v>
          </cell>
          <cell r="AN13" t="str">
            <v>High Eff. Centrifugal Water-Cooled Chiller</v>
          </cell>
          <cell r="AO13" t="str">
            <v>Door Gaskets - Coolers (Refrigeration)</v>
          </cell>
          <cell r="AW13" t="str">
            <v xml:space="preserve">VFD for Existing Air Handling Unit </v>
          </cell>
        </row>
        <row r="14">
          <cell r="AD14" t="str">
            <v>Yes-DBE Type Not Listed</v>
          </cell>
          <cell r="AH14" t="str">
            <v>Health Care: Nursing Home</v>
          </cell>
          <cell r="AO14" t="str">
            <v>Door Gaskets - Freezers (Refrigeration)</v>
          </cell>
          <cell r="AW14" t="str">
            <v xml:space="preserve">VFD for Existing Fan Motors </v>
          </cell>
        </row>
        <row r="15">
          <cell r="AH15" t="str">
            <v>Health Care: Out-Patient</v>
          </cell>
          <cell r="AO15" t="str">
            <v>Auto Door-Closers - Coolers (Refrigeration)</v>
          </cell>
          <cell r="AW15" t="str">
            <v xml:space="preserve">VFD for Existing Pump Motors </v>
          </cell>
        </row>
        <row r="16">
          <cell r="AH16" t="str">
            <v>Convenience Store (non-24 hour)</v>
          </cell>
          <cell r="AO16" t="str">
            <v>Auto Door-Closers - Freezers (Refrigeration)</v>
          </cell>
          <cell r="AW16" t="str">
            <v xml:space="preserve">New Air Handling Units and VFD </v>
          </cell>
        </row>
        <row r="17">
          <cell r="AH17" t="str">
            <v>Lodging (Hotel/Motel/Dorm): Common Areas</v>
          </cell>
          <cell r="AO17" t="str">
            <v>LED Refrigerated Case Lighting (without Controls)</v>
          </cell>
          <cell r="AW17" t="str">
            <v xml:space="preserve">New Pumps and VFD </v>
          </cell>
        </row>
        <row r="18">
          <cell r="AH18" t="str">
            <v>Lodging (Hotel/Motel/Dorm): Room</v>
          </cell>
          <cell r="AO18" t="str">
            <v>LED Refrigerated Case Lighting (with Controls)</v>
          </cell>
          <cell r="AW18" t="str">
            <v xml:space="preserve">Existing Chiller Control Optimization </v>
          </cell>
        </row>
        <row r="19">
          <cell r="AH19" t="str">
            <v>Manufacturing</v>
          </cell>
          <cell r="AW19" t="str">
            <v xml:space="preserve">Existing Cooling Tower Control Optimization </v>
          </cell>
        </row>
        <row r="20">
          <cell r="AH20" t="str">
            <v>Multi-family Housing: Common Areas</v>
          </cell>
          <cell r="AW20" t="str">
            <v xml:space="preserve">Existing Cooling Tower and Chiller Control Optimization </v>
          </cell>
        </row>
        <row r="21">
          <cell r="AH21" t="str">
            <v>Non-Warehouse Storage (Generic)</v>
          </cell>
          <cell r="AW21" t="str">
            <v>New Chiller and Controls Optimization</v>
          </cell>
        </row>
        <row r="22">
          <cell r="AH22" t="str">
            <v>Office</v>
          </cell>
          <cell r="AW22" t="str">
            <v>New Cooling Tower and Controls Optimization</v>
          </cell>
        </row>
        <row r="23">
          <cell r="AH23" t="str">
            <v>Office (attached to other facility)</v>
          </cell>
          <cell r="AW23" t="str">
            <v xml:space="preserve">Optimizing Process Cooling </v>
          </cell>
        </row>
        <row r="24">
          <cell r="AH24" t="str">
            <v>Parking Structure</v>
          </cell>
          <cell r="AW24" t="str">
            <v>Optimizing Process Heating</v>
          </cell>
        </row>
        <row r="25">
          <cell r="AH25" t="str">
            <v>Public Assembly</v>
          </cell>
          <cell r="AW25" t="str">
            <v>Process Heat Recovery</v>
          </cell>
        </row>
        <row r="26">
          <cell r="AH26" t="str">
            <v>Public Order and Safety</v>
          </cell>
          <cell r="AW26" t="str">
            <v xml:space="preserve">Efficient Air Compressor </v>
          </cell>
        </row>
        <row r="27">
          <cell r="AH27" t="str">
            <v>Religious Gathering</v>
          </cell>
          <cell r="AW27" t="str">
            <v xml:space="preserve">Compressed Air Optimization </v>
          </cell>
        </row>
        <row r="28">
          <cell r="AH28" t="str">
            <v>Restroom (Generic)</v>
          </cell>
          <cell r="AW28" t="str">
            <v>Upgrading Existing BAS</v>
          </cell>
        </row>
        <row r="29">
          <cell r="AH29" t="str">
            <v>Retail: Enclosed Mall</v>
          </cell>
          <cell r="AW29" t="str">
            <v xml:space="preserve">New BAS </v>
          </cell>
        </row>
        <row r="30">
          <cell r="AH30" t="str">
            <v>Retail: Freestanding</v>
          </cell>
          <cell r="AW30" t="str">
            <v xml:space="preserve">RCx of Existing BAS </v>
          </cell>
        </row>
        <row r="31">
          <cell r="AH31" t="str">
            <v>Retail: Other</v>
          </cell>
          <cell r="AW31" t="str">
            <v xml:space="preserve">Scheduling of Existing BAS </v>
          </cell>
        </row>
        <row r="32">
          <cell r="AH32" t="str">
            <v>Retail: Strip Mall</v>
          </cell>
          <cell r="AW32" t="str">
            <v xml:space="preserve">Temperature Setback of Existing BAS </v>
          </cell>
        </row>
        <row r="33">
          <cell r="AH33" t="str">
            <v>Service: Excluding Food</v>
          </cell>
          <cell r="AW33" t="str">
            <v xml:space="preserve">Demand Control Ventilation </v>
          </cell>
        </row>
        <row r="34">
          <cell r="AH34" t="str">
            <v>Warehouse: Non-Refrigerated</v>
          </cell>
          <cell r="AW34" t="str">
            <v xml:space="preserve">Combined Measures </v>
          </cell>
        </row>
        <row r="35">
          <cell r="AH35" t="str">
            <v>Warehouse: Refrigerated</v>
          </cell>
          <cell r="AW35" t="str">
            <v>Air Handler Coil Cleaning</v>
          </cell>
        </row>
        <row r="36">
          <cell r="AH36" t="str">
            <v>Other/Unknown</v>
          </cell>
          <cell r="AW36" t="str">
            <v>HVAC Custom Measure - Other</v>
          </cell>
        </row>
        <row r="37">
          <cell r="AW37" t="str">
            <v>Chiller Plant Optimization</v>
          </cell>
        </row>
        <row r="38">
          <cell r="AW38" t="str">
            <v>Cool Roof</v>
          </cell>
        </row>
        <row r="39">
          <cell r="AW39" t="str">
            <v>Roof or Wall Insulation</v>
          </cell>
        </row>
        <row r="40">
          <cell r="AW40" t="str">
            <v>Building Envelope Custom Measure - Other</v>
          </cell>
        </row>
        <row r="41">
          <cell r="AW41" t="str">
            <v>Other - Measure Type Not Listed</v>
          </cell>
        </row>
      </sheetData>
      <sheetData sheetId="13"/>
      <sheetData sheetId="14"/>
      <sheetData sheetId="15"/>
      <sheetData sheetId="16"/>
      <sheetData sheetId="17"/>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lable application &amp; instruct"/>
      <sheetName val="Equipment qualifications"/>
      <sheetName val="Summary"/>
      <sheetName val="HVAC"/>
      <sheetName val="Refrigeration"/>
      <sheetName val="Food service"/>
      <sheetName val="Misc."/>
      <sheetName val="Custom"/>
      <sheetName val="Completion notice"/>
      <sheetName val="QC"/>
      <sheetName val="Printable application"/>
      <sheetName val="Lookups"/>
      <sheetName val="Savings Lookups"/>
      <sheetName val="APTracks Export Data"/>
      <sheetName val="Change Log"/>
    </sheetNames>
    <sheetDataSet>
      <sheetData sheetId="0">
        <row r="17">
          <cell r="J17" t="str">
            <v>Non-Lighting 2024 - v4.3</v>
          </cell>
        </row>
        <row r="20">
          <cell r="F20">
            <v>9.4600000000000004E-2</v>
          </cell>
        </row>
        <row r="21">
          <cell r="F21" t="str">
            <v>Lodging</v>
          </cell>
        </row>
        <row r="23">
          <cell r="F23" t="str">
            <v>Large Commercial &amp; Industrial Solutions</v>
          </cell>
        </row>
      </sheetData>
      <sheetData sheetId="1"/>
      <sheetData sheetId="2">
        <row r="12">
          <cell r="C12">
            <v>133000</v>
          </cell>
        </row>
      </sheetData>
      <sheetData sheetId="3"/>
      <sheetData sheetId="4"/>
      <sheetData sheetId="5"/>
      <sheetData sheetId="6"/>
      <sheetData sheetId="7"/>
      <sheetData sheetId="8"/>
      <sheetData sheetId="9">
        <row r="1">
          <cell r="B1" t="str">
            <v>30153-2021-S6K4</v>
          </cell>
        </row>
        <row r="2">
          <cell r="B2">
            <v>202440</v>
          </cell>
        </row>
        <row r="19">
          <cell r="B19">
            <v>148752.5</v>
          </cell>
          <cell r="C19">
            <v>36000</v>
          </cell>
          <cell r="D19">
            <v>184752.5</v>
          </cell>
          <cell r="G19"/>
        </row>
        <row r="21">
          <cell r="G21">
            <v>25000</v>
          </cell>
        </row>
      </sheetData>
      <sheetData sheetId="10"/>
      <sheetData sheetId="11">
        <row r="2">
          <cell r="AC2" t="str">
            <v>Measure Number</v>
          </cell>
          <cell r="AD2" t="str">
            <v>Measure Name</v>
          </cell>
        </row>
        <row r="3">
          <cell r="B3" t="str">
            <v>Small Commercial Solutions</v>
          </cell>
          <cell r="J3" t="str">
            <v>Equipment Type</v>
          </cell>
          <cell r="K3" t="str">
            <v>Min EER</v>
          </cell>
          <cell r="L3" t="str">
            <v>Min SEER/IEER</v>
          </cell>
          <cell r="M3" t="str">
            <v>Min Htg Eff. (HSPF)</v>
          </cell>
          <cell r="N3" t="str">
            <v>Min EER</v>
          </cell>
          <cell r="O3" t="str">
            <v>Min SEER/IEER</v>
          </cell>
          <cell r="P3" t="str">
            <v>Min Htg Eff. (HSPF)</v>
          </cell>
          <cell r="Q3" t="str">
            <v>Min</v>
          </cell>
          <cell r="R3" t="str">
            <v>Max</v>
          </cell>
          <cell r="T3" t="str">
            <v>Cooler (medium-temp.)</v>
          </cell>
          <cell r="V3" t="str">
            <v>Electric/Electric</v>
          </cell>
          <cell r="Y3" t="str">
            <v>Prison</v>
          </cell>
          <cell r="AA3" t="str">
            <v>Retrofit</v>
          </cell>
          <cell r="AC3"/>
          <cell r="AD3"/>
        </row>
        <row r="4">
          <cell r="B4" t="str">
            <v>Large Commercial &amp; Industrial Solutions</v>
          </cell>
          <cell r="J4" t="str">
            <v>A/C Unit (&lt; 5.42 Tons) - Min. efficiency of 12.3 EER/14.5 SEER2</v>
          </cell>
          <cell r="K4">
            <v>11.8</v>
          </cell>
          <cell r="L4">
            <v>13.4</v>
          </cell>
          <cell r="M4"/>
          <cell r="N4">
            <v>12.3</v>
          </cell>
          <cell r="O4">
            <v>14.5</v>
          </cell>
          <cell r="P4"/>
          <cell r="Q4">
            <v>0</v>
          </cell>
          <cell r="R4">
            <v>5.4199900000000003</v>
          </cell>
          <cell r="T4" t="str">
            <v>Freezer (low temp.)</v>
          </cell>
          <cell r="V4" t="str">
            <v>Gas/Electric</v>
          </cell>
          <cell r="Y4" t="str">
            <v>Hospital, Nursing Home</v>
          </cell>
          <cell r="AA4" t="str">
            <v>New Construction</v>
          </cell>
          <cell r="AC4">
            <v>202725</v>
          </cell>
          <cell r="AD4" t="str">
            <v>202725-HVAC-Demand Control Ventilation Replacing No Existing Equipment or Failed Equipment</v>
          </cell>
        </row>
        <row r="5">
          <cell r="J5" t="str">
            <v>A/C Unit (5.42 - 11.24 Tons) - Min. efficiency 12.2 EER/14.8 SEER</v>
          </cell>
          <cell r="K5">
            <v>11.1</v>
          </cell>
          <cell r="L5">
            <v>14.7</v>
          </cell>
          <cell r="M5"/>
          <cell r="N5">
            <v>12.2</v>
          </cell>
          <cell r="O5">
            <v>14.8</v>
          </cell>
          <cell r="P5"/>
          <cell r="Q5">
            <v>5.42</v>
          </cell>
          <cell r="R5">
            <v>11.24</v>
          </cell>
          <cell r="Y5" t="str">
            <v>Dormitory</v>
          </cell>
          <cell r="AC5">
            <v>202730</v>
          </cell>
          <cell r="AD5" t="str">
            <v>202730-HVAC-Demand Control Ventilation Replacing Existing Equipment</v>
          </cell>
        </row>
        <row r="6">
          <cell r="B6" t="str">
            <v>Measure Name</v>
          </cell>
          <cell r="C6" t="str">
            <v>Incentive - SC</v>
          </cell>
          <cell r="D6" t="str">
            <v>Incentive - LC</v>
          </cell>
          <cell r="E6" t="str">
            <v>Metric</v>
          </cell>
          <cell r="F6" t="str">
            <v>Measure Number</v>
          </cell>
          <cell r="G6" t="str">
            <v>Type</v>
          </cell>
          <cell r="J6" t="str">
            <v>A/C Unit (11.25 - 19.9 Tons) - Min. efficiency 12.2 EER/14.8 SEER</v>
          </cell>
          <cell r="K6">
            <v>10.9</v>
          </cell>
          <cell r="L6">
            <v>14.1</v>
          </cell>
          <cell r="M6"/>
          <cell r="N6">
            <v>12.2</v>
          </cell>
          <cell r="O6">
            <v>14.8</v>
          </cell>
          <cell r="P6"/>
          <cell r="Q6">
            <v>11.25</v>
          </cell>
          <cell r="R6">
            <v>19.998999999999999</v>
          </cell>
          <cell r="Y6" t="str">
            <v>Multifamily</v>
          </cell>
          <cell r="AC6">
            <v>202825</v>
          </cell>
          <cell r="AD6" t="str">
            <v>202825-HVAC-HVAC Controls / EMS Replacing No Existing Equipment or Failed Equipment</v>
          </cell>
        </row>
        <row r="7">
          <cell r="B7" t="str">
            <v>A/C Unit (&lt; 5.42 Tons) - Min. efficiency of 12.3 EER/14.5 SEER2</v>
          </cell>
          <cell r="C7">
            <v>18</v>
          </cell>
          <cell r="D7">
            <v>17</v>
          </cell>
          <cell r="E7" t="str">
            <v>Ton</v>
          </cell>
          <cell r="F7">
            <v>228030</v>
          </cell>
          <cell r="G7" t="str">
            <v>HVAC</v>
          </cell>
          <cell r="J7" t="str">
            <v>A/C Unit (&gt;= 20 Tons) - Min. efficiency 10.8 EER/13.5 SEER</v>
          </cell>
          <cell r="K7">
            <v>9.9</v>
          </cell>
          <cell r="L7">
            <v>13.1</v>
          </cell>
          <cell r="M7"/>
          <cell r="N7">
            <v>10.8</v>
          </cell>
          <cell r="O7">
            <v>13.5</v>
          </cell>
          <cell r="P7"/>
          <cell r="Q7">
            <v>20</v>
          </cell>
          <cell r="R7">
            <v>999999</v>
          </cell>
          <cell r="V7" t="str">
            <v>Half-Size</v>
          </cell>
          <cell r="Y7" t="str">
            <v>Lodging</v>
          </cell>
          <cell r="AA7" t="str">
            <v>VFD's/Motors</v>
          </cell>
          <cell r="AC7">
            <v>202830</v>
          </cell>
          <cell r="AD7" t="str">
            <v>202830-HVAC-HVAC Controls / EMS Replacing Existing Equipment</v>
          </cell>
        </row>
        <row r="8">
          <cell r="B8" t="str">
            <v>A/C Unit (5.42 - 11.24 Tons) - Min. efficiency 12.2 EER/14.8 SEER</v>
          </cell>
          <cell r="C8">
            <v>45</v>
          </cell>
          <cell r="D8">
            <v>42</v>
          </cell>
          <cell r="E8" t="str">
            <v>Ton</v>
          </cell>
          <cell r="F8">
            <v>228130</v>
          </cell>
          <cell r="G8" t="str">
            <v>HVAC</v>
          </cell>
          <cell r="J8" t="str">
            <v>Heat Pump (&lt; 5.42 Tons) - Min. efficiency 12.3 EER/14.5 SEER2/8.0 HSPF2</v>
          </cell>
          <cell r="K8">
            <v>11.8</v>
          </cell>
          <cell r="L8">
            <v>13.4</v>
          </cell>
          <cell r="M8">
            <v>7.1</v>
          </cell>
          <cell r="N8">
            <v>12.3</v>
          </cell>
          <cell r="O8">
            <v>14.5</v>
          </cell>
          <cell r="P8">
            <v>8</v>
          </cell>
          <cell r="Q8">
            <v>0</v>
          </cell>
          <cell r="R8">
            <v>5.4199900000000003</v>
          </cell>
          <cell r="V8" t="str">
            <v>Full-Size</v>
          </cell>
          <cell r="Y8" t="str">
            <v>Commercial</v>
          </cell>
          <cell r="AA8" t="str">
            <v>Fans/Pumps</v>
          </cell>
          <cell r="AC8">
            <v>202925</v>
          </cell>
          <cell r="AD8" t="str">
            <v>202925-HVAC-Advanced RTU Compressor Controller Replacing No Existing Equipment or Failed Equipment</v>
          </cell>
        </row>
        <row r="9">
          <cell r="B9" t="str">
            <v>A/C Unit (11.25 - 19.9 Tons) - Min. efficiency 12.2 EER/14.8 SEER</v>
          </cell>
          <cell r="C9">
            <v>70</v>
          </cell>
          <cell r="D9">
            <v>66</v>
          </cell>
          <cell r="E9" t="str">
            <v>Ton</v>
          </cell>
          <cell r="F9">
            <v>228230</v>
          </cell>
          <cell r="G9" t="str">
            <v>HVAC</v>
          </cell>
          <cell r="J9" t="str">
            <v>Heat Pump (5.42 - 11.24 Tons) - Min. efficiency 11.3 EER/14.5 SEER/12.0 HSPF</v>
          </cell>
          <cell r="K9">
            <v>10.9</v>
          </cell>
          <cell r="L9">
            <v>14</v>
          </cell>
          <cell r="M9">
            <v>11.6008</v>
          </cell>
          <cell r="N9">
            <v>11.3</v>
          </cell>
          <cell r="O9">
            <v>14.5</v>
          </cell>
          <cell r="P9">
            <v>12</v>
          </cell>
          <cell r="Q9">
            <v>5.42</v>
          </cell>
          <cell r="R9">
            <v>11.24</v>
          </cell>
          <cell r="Y9" t="str">
            <v>School</v>
          </cell>
          <cell r="AA9" t="str">
            <v>HVAC - DX, Packaged/Rooftop Units</v>
          </cell>
          <cell r="AC9">
            <v>202930</v>
          </cell>
          <cell r="AD9" t="str">
            <v>202930-HVAC-Advanced RTU Compressor Controller Replacing Existing Equipment</v>
          </cell>
        </row>
        <row r="10">
          <cell r="B10" t="str">
            <v>A/C Unit (&gt;= 20 Tons) - Min. efficiency 10.8 EER/13.5 SEER</v>
          </cell>
          <cell r="C10">
            <v>46</v>
          </cell>
          <cell r="D10">
            <v>43</v>
          </cell>
          <cell r="E10" t="str">
            <v>Ton</v>
          </cell>
          <cell r="F10">
            <v>228330</v>
          </cell>
          <cell r="G10" t="str">
            <v>HVAC</v>
          </cell>
          <cell r="J10" t="str">
            <v>Heat Pump (11.25 - 19.9 Tons) - Min. efficiency 10.9 EER/14.0 SEER/12.0 HSPF</v>
          </cell>
          <cell r="K10">
            <v>10.5</v>
          </cell>
          <cell r="L10">
            <v>13.4</v>
          </cell>
          <cell r="M10">
            <v>11.259599999999999</v>
          </cell>
          <cell r="N10">
            <v>10.9</v>
          </cell>
          <cell r="O10">
            <v>14</v>
          </cell>
          <cell r="P10">
            <v>12</v>
          </cell>
          <cell r="Q10">
            <v>11.25</v>
          </cell>
          <cell r="R10">
            <v>19.9999</v>
          </cell>
          <cell r="Y10" t="str">
            <v>Other</v>
          </cell>
          <cell r="AA10" t="str">
            <v>HVAC - Chillers</v>
          </cell>
          <cell r="AC10">
            <v>203025</v>
          </cell>
          <cell r="AD10" t="str">
            <v>203025-HVAC-Air Cooled Chiller Replacing No Existing Equipment or Failed Equipment</v>
          </cell>
        </row>
        <row r="11">
          <cell r="B11" t="str">
            <v>Heat Pump (&lt; 5.42 Tons) - Min. efficiency 12.3 EER/14.5 SEER2/8.0 HSPF2</v>
          </cell>
          <cell r="C11">
            <v>45</v>
          </cell>
          <cell r="D11">
            <v>42</v>
          </cell>
          <cell r="E11" t="str">
            <v>Ton</v>
          </cell>
          <cell r="F11">
            <v>228430</v>
          </cell>
          <cell r="G11" t="str">
            <v>HVAC</v>
          </cell>
          <cell r="J11" t="str">
            <v>Heat Pump (&gt;= 20 Tons) - Min. efficiency 10.3 EER/13.0 SEER/12.0 HSPF</v>
          </cell>
          <cell r="K11">
            <v>9.4</v>
          </cell>
          <cell r="L11">
            <v>12.4</v>
          </cell>
          <cell r="M11">
            <v>10.9184</v>
          </cell>
          <cell r="N11">
            <v>10.3</v>
          </cell>
          <cell r="O11">
            <v>13</v>
          </cell>
          <cell r="P11">
            <v>12</v>
          </cell>
          <cell r="Q11">
            <v>20</v>
          </cell>
          <cell r="R11">
            <v>999999</v>
          </cell>
          <cell r="AA11" t="str">
            <v>Compressed Air</v>
          </cell>
          <cell r="AC11">
            <v>203030</v>
          </cell>
          <cell r="AD11" t="str">
            <v>203030-HVAC-Air Cooled Chiller Replacing Existing Equipment</v>
          </cell>
        </row>
        <row r="12">
          <cell r="B12" t="str">
            <v>Heat Pump (5.42 - 11.24 Tons) - Min. efficiency 11.3 EER/14.5 SEER/12.0 HSPF</v>
          </cell>
          <cell r="C12">
            <v>32</v>
          </cell>
          <cell r="D12">
            <v>30</v>
          </cell>
          <cell r="E12" t="str">
            <v>Ton</v>
          </cell>
          <cell r="F12">
            <v>228530</v>
          </cell>
          <cell r="G12" t="str">
            <v>HVAC</v>
          </cell>
          <cell r="AA12" t="str">
            <v>Process Cooling</v>
          </cell>
          <cell r="AC12">
            <v>203125</v>
          </cell>
          <cell r="AD12" t="str">
            <v>203125-HVAC-Water Cooled Chiller Replacing No Existing Equipment or Failed Equipment</v>
          </cell>
        </row>
        <row r="13">
          <cell r="B13" t="str">
            <v>Heat Pump (11.25 - 19.9 Tons) - Min. efficiency 10.9 EER/14.0 SEER/12.0 HSPF</v>
          </cell>
          <cell r="C13">
            <v>39</v>
          </cell>
          <cell r="D13">
            <v>37</v>
          </cell>
          <cell r="E13" t="str">
            <v>Ton</v>
          </cell>
          <cell r="F13">
            <v>228630</v>
          </cell>
          <cell r="G13" t="str">
            <v>HVAC</v>
          </cell>
          <cell r="J13" t="str">
            <v>Building Type</v>
          </cell>
          <cell r="K13" t="str">
            <v>EFLHc</v>
          </cell>
          <cell r="L13" t="str">
            <v>EFLHh</v>
          </cell>
          <cell r="M13" t="str">
            <v>CF</v>
          </cell>
          <cell r="Y13" t="str">
            <v>Fast Food</v>
          </cell>
          <cell r="AA13" t="str">
            <v xml:space="preserve">Process Heating </v>
          </cell>
          <cell r="AC13">
            <v>203130</v>
          </cell>
          <cell r="AD13" t="str">
            <v>203130-HVAC-Water Cooled Chiller Replacing Existing Equipment</v>
          </cell>
        </row>
        <row r="14">
          <cell r="B14" t="str">
            <v>Heat Pump (&gt;= 20 Tons) - Min. efficiency 10.3 EER/13.0 SEER/12.0 HSPF</v>
          </cell>
          <cell r="C14">
            <v>69</v>
          </cell>
          <cell r="D14">
            <v>64</v>
          </cell>
          <cell r="E14" t="str">
            <v>Ton</v>
          </cell>
          <cell r="F14">
            <v>228730</v>
          </cell>
          <cell r="G14" t="str">
            <v>HVAC</v>
          </cell>
          <cell r="J14" t="str">
            <v>Assembly</v>
          </cell>
          <cell r="K14">
            <v>2624.4331596223719</v>
          </cell>
          <cell r="L14">
            <v>514.54553052325582</v>
          </cell>
          <cell r="M14">
            <v>0.82</v>
          </cell>
          <cell r="Y14" t="str">
            <v>Casual Dining</v>
          </cell>
          <cell r="AA14" t="str">
            <v xml:space="preserve">Process Heat Recovery </v>
          </cell>
          <cell r="AC14">
            <v>203225</v>
          </cell>
          <cell r="AD14" t="str">
            <v>203225-HVAC-Cooling Only HVAC Equipment Replacing No Existing Equipment or Failed Equipment</v>
          </cell>
        </row>
        <row r="15">
          <cell r="B15" t="str">
            <v xml:space="preserve">Guest Room Energy Management Controls </v>
          </cell>
          <cell r="C15">
            <v>90</v>
          </cell>
          <cell r="D15">
            <v>80</v>
          </cell>
          <cell r="E15" t="str">
            <v>Room</v>
          </cell>
          <cell r="F15">
            <v>228825</v>
          </cell>
          <cell r="G15" t="str">
            <v>HVAC</v>
          </cell>
          <cell r="J15" t="str">
            <v>Fast Food</v>
          </cell>
          <cell r="K15">
            <v>1790.5345410769364</v>
          </cell>
          <cell r="L15">
            <v>193.80179162328227</v>
          </cell>
          <cell r="M15">
            <v>0.78</v>
          </cell>
          <cell r="Y15" t="str">
            <v>Institutional</v>
          </cell>
          <cell r="AA15" t="str">
            <v>Building Automation System</v>
          </cell>
          <cell r="AC15">
            <v>203230</v>
          </cell>
          <cell r="AD15" t="str">
            <v>203230-HVAC-Cooling Only HVAC Equipment Replacing Existing Equipment</v>
          </cell>
        </row>
        <row r="16">
          <cell r="B16"/>
          <cell r="C16"/>
          <cell r="D16"/>
          <cell r="E16"/>
          <cell r="F16"/>
          <cell r="G16"/>
          <cell r="J16" t="str">
            <v>Grocery</v>
          </cell>
          <cell r="K16">
            <v>1654.6710198226535</v>
          </cell>
          <cell r="L16">
            <v>503.33976072849578</v>
          </cell>
          <cell r="M16">
            <v>0.9</v>
          </cell>
          <cell r="Y16" t="str">
            <v>Dormitory</v>
          </cell>
          <cell r="AA16" t="str">
            <v>Other (describe)</v>
          </cell>
          <cell r="AC16">
            <v>203325</v>
          </cell>
          <cell r="AD16" t="str">
            <v>203325-HVAC-Packaged / Rooftop Unit Replacing No Existing Equipment or Failed Equipment</v>
          </cell>
        </row>
        <row r="17">
          <cell r="B17"/>
          <cell r="C17"/>
          <cell r="D17"/>
          <cell r="E17"/>
          <cell r="F17"/>
          <cell r="G17"/>
          <cell r="J17" t="str">
            <v>Health Clinic</v>
          </cell>
          <cell r="K17">
            <v>1590.6637476836327</v>
          </cell>
          <cell r="L17">
            <v>541.95837030364612</v>
          </cell>
          <cell r="M17">
            <v>0.85</v>
          </cell>
          <cell r="Y17" t="str">
            <v>K-12 School</v>
          </cell>
          <cell r="AC17">
            <v>203330</v>
          </cell>
          <cell r="AD17" t="str">
            <v>203330-HVAC-Packaged / Rooftop Unit Replacing Existing Equipment</v>
          </cell>
        </row>
        <row r="18">
          <cell r="B18" t="str">
            <v>Duct Sealing</v>
          </cell>
          <cell r="C18">
            <v>0.7</v>
          </cell>
          <cell r="D18">
            <v>0.65</v>
          </cell>
          <cell r="E18" t="str">
            <v>CFM Reduced</v>
          </cell>
          <cell r="F18">
            <v>829025</v>
          </cell>
          <cell r="G18" t="str">
            <v>HVAC</v>
          </cell>
          <cell r="J18" t="str">
            <v>Office</v>
          </cell>
          <cell r="K18">
            <v>2133.2805663789318</v>
          </cell>
          <cell r="L18">
            <v>445.94919311647766</v>
          </cell>
          <cell r="M18">
            <v>0.84</v>
          </cell>
          <cell r="Y18" t="str">
            <v>Other</v>
          </cell>
          <cell r="AC18">
            <v>203425</v>
          </cell>
          <cell r="AD18" t="str">
            <v>203425-HVAC-Chiller Control Optimization Replacing No Existing Equipment or Failed Equipment</v>
          </cell>
        </row>
        <row r="19">
          <cell r="B19" t="str">
            <v>Air Cooled Chiller &lt;150 Tons (min. eff. of 1.18 kW/ton full load and 0.76 kW/ton IPLV)</v>
          </cell>
          <cell r="C19">
            <v>67</v>
          </cell>
          <cell r="D19">
            <v>63</v>
          </cell>
          <cell r="E19" t="str">
            <v>Ton</v>
          </cell>
          <cell r="F19">
            <v>229130</v>
          </cell>
          <cell r="G19" t="str">
            <v>HVAC</v>
          </cell>
          <cell r="J19" t="str">
            <v>Lodging</v>
          </cell>
          <cell r="K19">
            <v>1506.1554912739043</v>
          </cell>
          <cell r="L19">
            <v>329.42162368567841</v>
          </cell>
          <cell r="M19">
            <v>0.77</v>
          </cell>
          <cell r="AC19">
            <v>203430</v>
          </cell>
          <cell r="AD19" t="str">
            <v>203430-HVAC-Chiller Control Optimization Replacing Existing Equipment</v>
          </cell>
        </row>
        <row r="20">
          <cell r="B20" t="str">
            <v>Air Cooled Chiller &gt;=150 Tons (min. eff. of 1.18 kW/ton full load and 0.75 kW/ton IPLV)</v>
          </cell>
          <cell r="C20">
            <v>65</v>
          </cell>
          <cell r="D20">
            <v>61</v>
          </cell>
          <cell r="E20" t="str">
            <v>Ton</v>
          </cell>
          <cell r="F20">
            <v>229230</v>
          </cell>
          <cell r="G20" t="str">
            <v>HVAC</v>
          </cell>
          <cell r="J20" t="str">
            <v>Full Menu Restaurant</v>
          </cell>
          <cell r="K20">
            <v>2308.8152919500835</v>
          </cell>
          <cell r="L20">
            <v>122.74113753967957</v>
          </cell>
          <cell r="M20">
            <v>0.85</v>
          </cell>
          <cell r="AC20">
            <v>203525</v>
          </cell>
          <cell r="AD20" t="str">
            <v>203525-HVAC-VFD for Chiller Replacing No Existing Equipment or Failed Equipment</v>
          </cell>
        </row>
        <row r="21">
          <cell r="B21" t="str">
            <v>Water Cooled Screw/Scroll Chiller &lt;75 Tons (min. eff. of 0.74 kW/ton full load and 0.50 kW/ton IPLV)</v>
          </cell>
          <cell r="C21">
            <v>43</v>
          </cell>
          <cell r="D21">
            <v>41</v>
          </cell>
          <cell r="E21" t="str">
            <v>Ton</v>
          </cell>
          <cell r="F21">
            <v>229330</v>
          </cell>
          <cell r="G21" t="str">
            <v>HVAC</v>
          </cell>
          <cell r="J21" t="str">
            <v>Religious Worship</v>
          </cell>
          <cell r="K21">
            <v>2340.7809886765726</v>
          </cell>
          <cell r="L21">
            <v>481.0791545542636</v>
          </cell>
          <cell r="M21">
            <v>0.82</v>
          </cell>
          <cell r="T21" t="str">
            <v>0 - 15 cu. ft.</v>
          </cell>
          <cell r="Y21" t="str">
            <v>Hospital</v>
          </cell>
          <cell r="AC21">
            <v>203625</v>
          </cell>
          <cell r="AD21" t="str">
            <v>203625-HVAC-VFD for Fan Replacing No Existing Equipment or Failed Equipment</v>
          </cell>
        </row>
        <row r="22">
          <cell r="B22" t="str">
            <v>Water Cooled Screw/Scroll Chiller &gt;= 75 and &lt;150 Tons (min. eff. of 0.71 kW/ton full load and 0.49 kW/ton IPLV)</v>
          </cell>
          <cell r="C22">
            <v>42</v>
          </cell>
          <cell r="D22">
            <v>39</v>
          </cell>
          <cell r="E22" t="str">
            <v>Ton</v>
          </cell>
          <cell r="F22">
            <v>229430</v>
          </cell>
          <cell r="G22" t="str">
            <v>HVAC</v>
          </cell>
          <cell r="J22" t="str">
            <v>Retail</v>
          </cell>
          <cell r="K22">
            <v>1640.8270712051362</v>
          </cell>
          <cell r="L22">
            <v>658.00073682484617</v>
          </cell>
          <cell r="M22">
            <v>0.88</v>
          </cell>
          <cell r="T22" t="str">
            <v>15 - 30 cu. ft</v>
          </cell>
          <cell r="Y22" t="str">
            <v>Lodging</v>
          </cell>
          <cell r="AC22">
            <v>203725</v>
          </cell>
          <cell r="AD22" t="str">
            <v>203725-HVAC-PTAC Unit Replacing No Existing Equipment or Failed Equipment</v>
          </cell>
        </row>
        <row r="23">
          <cell r="B23" t="str">
            <v>Water Cooled Screw/Scroll Chiller &gt;=150 Tons and &lt;300 Tons (min. eff. of 0.65 kW/ton full load and 0.44 kW/ton IPLV)</v>
          </cell>
          <cell r="C23">
            <v>47</v>
          </cell>
          <cell r="D23">
            <v>44</v>
          </cell>
          <cell r="E23" t="str">
            <v>Ton</v>
          </cell>
          <cell r="F23">
            <v>229530</v>
          </cell>
          <cell r="G23" t="str">
            <v>HVAC</v>
          </cell>
          <cell r="J23" t="str">
            <v>School</v>
          </cell>
          <cell r="K23">
            <v>1545.2570168203831</v>
          </cell>
          <cell r="L23">
            <v>480.02004704589683</v>
          </cell>
          <cell r="M23">
            <v>0.71</v>
          </cell>
          <cell r="T23" t="str">
            <v>30 - 50 cu. ft.</v>
          </cell>
          <cell r="Y23" t="str">
            <v>Commercial</v>
          </cell>
          <cell r="AC23">
            <v>203730</v>
          </cell>
          <cell r="AD23" t="str">
            <v>203730-HVAC-PTAC Unit Replacing Existing Equipment</v>
          </cell>
        </row>
        <row r="24">
          <cell r="B24" t="str">
            <v>Water Cooled Screw/Scroll Chiller &gt;=300 Tons (min. eff. of 0.57 kW/ton full load and 0.41 kW/ton IPLV)</v>
          </cell>
          <cell r="C24">
            <v>43</v>
          </cell>
          <cell r="D24">
            <v>41</v>
          </cell>
          <cell r="E24" t="str">
            <v>Ton</v>
          </cell>
          <cell r="F24">
            <v>229630</v>
          </cell>
          <cell r="G24" t="str">
            <v>HVAC</v>
          </cell>
          <cell r="J24" t="str">
            <v>University</v>
          </cell>
          <cell r="K24">
            <v>1647.2297631629247</v>
          </cell>
          <cell r="L24">
            <v>591.637182064895</v>
          </cell>
          <cell r="M24">
            <v>0.84</v>
          </cell>
          <cell r="T24" t="str">
            <v>≥ 50 cu. ft.</v>
          </cell>
          <cell r="Y24" t="str">
            <v>Fitness Center</v>
          </cell>
          <cell r="AC24">
            <v>203825</v>
          </cell>
          <cell r="AD24" t="str">
            <v>203825-HVAC-CRAC Unit Replacing No Existing Equipment or Failed Equipment</v>
          </cell>
        </row>
        <row r="25">
          <cell r="B25" t="str">
            <v>Water Cooled Centrifugal &lt;300 Tons (min. eff. of 0.60 kW/ton full load and 0.40 kW/ton IPLV)</v>
          </cell>
          <cell r="C25">
            <v>66</v>
          </cell>
          <cell r="D25">
            <v>61</v>
          </cell>
          <cell r="E25" t="str">
            <v>Ton</v>
          </cell>
          <cell r="F25">
            <v>229730</v>
          </cell>
          <cell r="G25" t="str">
            <v>HVAC</v>
          </cell>
          <cell r="J25" t="str">
            <v>All Other</v>
          </cell>
          <cell r="K25">
            <v>1909.6607686710386</v>
          </cell>
          <cell r="L25">
            <v>442.37031009390796</v>
          </cell>
          <cell r="M25">
            <v>0.82363636363636372</v>
          </cell>
          <cell r="Y25" t="str">
            <v>School</v>
          </cell>
          <cell r="AC25">
            <v>203830</v>
          </cell>
          <cell r="AD25" t="str">
            <v>203830-HVAC-CRAC Unit Replacing Existing Equipment</v>
          </cell>
        </row>
        <row r="26">
          <cell r="B26" t="str">
            <v>Water Cooled Centrifugal &gt;=300 and &lt;600 Tons (min. eff. of 0.55 kW/ton full load and 0.39 kW/ton IPLV)</v>
          </cell>
          <cell r="C26">
            <v>56</v>
          </cell>
          <cell r="D26">
            <v>53</v>
          </cell>
          <cell r="E26" t="str">
            <v>Ton</v>
          </cell>
          <cell r="F26">
            <v>229830</v>
          </cell>
          <cell r="G26" t="str">
            <v>HVAC</v>
          </cell>
          <cell r="Y26" t="str">
            <v>Other</v>
          </cell>
          <cell r="AC26">
            <v>203925</v>
          </cell>
          <cell r="AD26" t="str">
            <v>203925-HVAC-Ground Source Heat Pump Replacing No Existing Equipment or Failed Equipment</v>
          </cell>
        </row>
        <row r="27">
          <cell r="B27" t="str">
            <v>Water Cooled Centrifugal &gt;=600 Tons (min. eff. of 0.55 kW/ton full load and 0.38 kW/ton IPLV)</v>
          </cell>
          <cell r="C27">
            <v>53</v>
          </cell>
          <cell r="D27">
            <v>50</v>
          </cell>
          <cell r="E27" t="str">
            <v>Ton</v>
          </cell>
          <cell r="F27">
            <v>229930</v>
          </cell>
          <cell r="G27" t="str">
            <v>HVAC</v>
          </cell>
          <cell r="J27"/>
          <cell r="K27"/>
          <cell r="L27"/>
          <cell r="M27"/>
          <cell r="N27"/>
          <cell r="O27"/>
          <cell r="P27"/>
          <cell r="AC27">
            <v>203930</v>
          </cell>
          <cell r="AD27" t="str">
            <v>203930-HVAC-Ground Source Heat Pump Replacing Existing Equipment</v>
          </cell>
        </row>
        <row r="28">
          <cell r="B28" t="str">
            <v>ECM Motors (HVAC)</v>
          </cell>
          <cell r="C28">
            <v>57</v>
          </cell>
          <cell r="D28">
            <v>53</v>
          </cell>
          <cell r="E28" t="str">
            <v>Fan</v>
          </cell>
          <cell r="F28">
            <v>220125</v>
          </cell>
          <cell r="G28" t="str">
            <v>HVAC</v>
          </cell>
          <cell r="AC28">
            <v>204025</v>
          </cell>
          <cell r="AD28" t="str">
            <v>204025-HVAC-Water Loop Heat Pump Replacing No Existing Equipment or Failed Equipment</v>
          </cell>
        </row>
        <row r="29">
          <cell r="B29" t="str">
            <v>ECM Motors (Refrigeration)</v>
          </cell>
          <cell r="C29">
            <v>133</v>
          </cell>
          <cell r="D29">
            <v>125</v>
          </cell>
          <cell r="E29" t="str">
            <v>Fan</v>
          </cell>
          <cell r="F29">
            <v>420125</v>
          </cell>
          <cell r="G29" t="str">
            <v>Food Service/Retail/Refrigeration</v>
          </cell>
          <cell r="J29"/>
          <cell r="K29"/>
          <cell r="L29"/>
          <cell r="M29"/>
          <cell r="N29"/>
          <cell r="O29"/>
          <cell r="P29"/>
          <cell r="AC29">
            <v>204030</v>
          </cell>
          <cell r="AD29" t="str">
            <v>204030-HVAC-Water Loop Heat Pump Replacing Existing Equipment</v>
          </cell>
        </row>
        <row r="30">
          <cell r="B30" t="str">
            <v>Evaporator Fan Controllers (Refrigeration)</v>
          </cell>
          <cell r="C30">
            <v>65</v>
          </cell>
          <cell r="D30">
            <v>60</v>
          </cell>
          <cell r="E30" t="str">
            <v>Fan</v>
          </cell>
          <cell r="F30">
            <v>420225</v>
          </cell>
          <cell r="G30" t="str">
            <v>Food Service/Retail/Refrigeration</v>
          </cell>
          <cell r="J30"/>
          <cell r="K30"/>
          <cell r="L30"/>
          <cell r="M30"/>
          <cell r="N30"/>
          <cell r="O30"/>
          <cell r="P30"/>
          <cell r="AC30">
            <v>204125</v>
          </cell>
          <cell r="AD30" t="str">
            <v>204125-HVAC-ECM Motor for HVAC Replacing No Existing Equipment or Failed Equipment</v>
          </cell>
        </row>
        <row r="31">
          <cell r="B31" t="str">
            <v>Anti-Sweat Heater Controls (Refrigeration)</v>
          </cell>
          <cell r="C31">
            <v>40</v>
          </cell>
          <cell r="D31">
            <v>35</v>
          </cell>
          <cell r="E31" t="str">
            <v>Linear Ft.</v>
          </cell>
          <cell r="F31">
            <v>420325</v>
          </cell>
          <cell r="G31" t="str">
            <v>Food Service/Retail/Refrigeration</v>
          </cell>
          <cell r="T31" t="str">
            <v>Supermarket – Cooler</v>
          </cell>
          <cell r="AC31">
            <v>204130</v>
          </cell>
          <cell r="AD31" t="str">
            <v>204130-HVAC-ECM Motor for HVAC Replacing Existing Equipment</v>
          </cell>
        </row>
        <row r="32">
          <cell r="B32" t="str">
            <v>Night Cover (Refrigeration)</v>
          </cell>
          <cell r="C32">
            <v>20</v>
          </cell>
          <cell r="D32">
            <v>20</v>
          </cell>
          <cell r="E32" t="str">
            <v>Linear Ft.</v>
          </cell>
          <cell r="F32">
            <v>420425</v>
          </cell>
          <cell r="G32" t="str">
            <v>Food Service/Retail/Refrigeration</v>
          </cell>
          <cell r="T32" t="str">
            <v>Supermarket – Freezer</v>
          </cell>
          <cell r="AC32">
            <v>217130</v>
          </cell>
          <cell r="AD32" t="str">
            <v>217130-Ventilation-Efficient Circulation Fans Replacing Existing Equipment</v>
          </cell>
        </row>
        <row r="33">
          <cell r="B33" t="str">
            <v>Solid Door Reach-Ins (Refrigeration)</v>
          </cell>
          <cell r="C33">
            <v>65</v>
          </cell>
          <cell r="D33">
            <v>60</v>
          </cell>
          <cell r="E33" t="str">
            <v>Unit</v>
          </cell>
          <cell r="F33">
            <v>420525</v>
          </cell>
          <cell r="G33" t="str">
            <v>Food Service/Retail/Refrigeration</v>
          </cell>
          <cell r="J33" t="str">
            <v>Prescriptive Measure</v>
          </cell>
          <cell r="K33" t="str">
            <v>FL kW/ton</v>
          </cell>
          <cell r="L33" t="str">
            <v>IPLV kW/ton</v>
          </cell>
          <cell r="M33" t="str">
            <v>FL kW/ton</v>
          </cell>
          <cell r="N33" t="str">
            <v>IPLV kW/ton</v>
          </cell>
          <cell r="O33" t="str">
            <v>Min</v>
          </cell>
          <cell r="P33" t="str">
            <v>Max</v>
          </cell>
          <cell r="T33" t="str">
            <v>Convenience Store - Cooler</v>
          </cell>
          <cell r="AC33">
            <v>217230</v>
          </cell>
          <cell r="AD33" t="str">
            <v>217230-Ventilation-Efficient Ventilation/Exhaust Fans Replacing Existing Equipment</v>
          </cell>
        </row>
        <row r="34">
          <cell r="B34" t="str">
            <v>Strip Curtains (Refrigeration)</v>
          </cell>
          <cell r="C34">
            <v>12</v>
          </cell>
          <cell r="D34">
            <v>10</v>
          </cell>
          <cell r="E34" t="str">
            <v>Sq.Ft.</v>
          </cell>
          <cell r="F34">
            <v>420625</v>
          </cell>
          <cell r="G34" t="str">
            <v>Food Service/Retail/Refrigeration</v>
          </cell>
          <cell r="J34" t="str">
            <v>SELECT CHILLER MEASURE FROM DROPDOWN</v>
          </cell>
          <cell r="K34"/>
          <cell r="L34"/>
          <cell r="M34"/>
          <cell r="N34"/>
          <cell r="O34"/>
          <cell r="P34"/>
          <cell r="T34" t="str">
            <v>Convenience Store - Freezer</v>
          </cell>
          <cell r="AC34">
            <v>217330</v>
          </cell>
          <cell r="AD34" t="str">
            <v>217330-Ventilation-High-Volume-Low-Speed (HVLS) Fans Replacing Existing Equipment</v>
          </cell>
        </row>
        <row r="35">
          <cell r="B35" t="str">
            <v>Commercial dishwasher - ENERGY STAR® - Under counter</v>
          </cell>
          <cell r="C35">
            <v>418</v>
          </cell>
          <cell r="D35">
            <v>392</v>
          </cell>
          <cell r="E35" t="str">
            <v>Unit</v>
          </cell>
          <cell r="F35">
            <v>321030</v>
          </cell>
          <cell r="G35" t="str">
            <v>Commercial Kitchen</v>
          </cell>
          <cell r="J35" t="str">
            <v>Air Cooled Chiller &lt;150 Tons (min. eff. of 1.18 kW/ton full load and 0.76 kW/ton IPLV)</v>
          </cell>
          <cell r="K35">
            <v>1.1879999999999999</v>
          </cell>
          <cell r="L35">
            <v>0.876</v>
          </cell>
          <cell r="M35">
            <v>1.18</v>
          </cell>
          <cell r="N35">
            <v>0.76</v>
          </cell>
          <cell r="O35">
            <v>0</v>
          </cell>
          <cell r="P35">
            <v>149.999</v>
          </cell>
          <cell r="T35" t="str">
            <v>Restaurant – Cooler</v>
          </cell>
          <cell r="AC35">
            <v>304925</v>
          </cell>
          <cell r="AD35" t="str">
            <v>304925-Cooking-Commercial Cooker Replacing No Existing Equipment or Failed Equipment</v>
          </cell>
        </row>
        <row r="36">
          <cell r="B36" t="str">
            <v>Commercial dishwasher - ENERGY STAR® - Stationary Single Tank Door</v>
          </cell>
          <cell r="C36">
            <v>1991</v>
          </cell>
          <cell r="D36">
            <v>1866</v>
          </cell>
          <cell r="E36" t="str">
            <v>Unit</v>
          </cell>
          <cell r="F36">
            <v>321130</v>
          </cell>
          <cell r="G36" t="str">
            <v>Commercial Kitchen</v>
          </cell>
          <cell r="J36" t="str">
            <v>Air Cooled Chiller &gt;=150 Tons (min. eff. of 1.18 kW/ton full load and 0.75 kW/ton IPLV)</v>
          </cell>
          <cell r="K36">
            <v>1.1879999999999999</v>
          </cell>
          <cell r="L36">
            <v>0.85699999999999998</v>
          </cell>
          <cell r="M36">
            <v>1.18</v>
          </cell>
          <cell r="N36">
            <v>0.75</v>
          </cell>
          <cell r="O36">
            <v>150</v>
          </cell>
          <cell r="P36">
            <v>999999</v>
          </cell>
          <cell r="T36" t="str">
            <v>Restaurant - Freezer</v>
          </cell>
          <cell r="AC36">
            <v>304930</v>
          </cell>
          <cell r="AD36" t="str">
            <v>304930-Cooking-Commercial Cooker Replacing Existing Equipment</v>
          </cell>
        </row>
        <row r="37">
          <cell r="B37" t="str">
            <v>Commercial dishwasher - ENERGY STAR® - Pots, pans and utensils</v>
          </cell>
          <cell r="C37">
            <v>367</v>
          </cell>
          <cell r="D37">
            <v>344</v>
          </cell>
          <cell r="E37" t="str">
            <v>Unit</v>
          </cell>
          <cell r="F37">
            <v>321230</v>
          </cell>
          <cell r="G37" t="str">
            <v>Commercial Kitchen</v>
          </cell>
          <cell r="J37" t="str">
            <v>Water Cooled Screw/Scroll Chiller &lt;75 Tons (min. eff. of 0.74 kW/ton full load and 0.50 kW/ton IPLV)</v>
          </cell>
          <cell r="K37">
            <v>0.75</v>
          </cell>
          <cell r="L37">
            <v>0.6</v>
          </cell>
          <cell r="M37">
            <v>0.74</v>
          </cell>
          <cell r="N37">
            <v>0.5</v>
          </cell>
          <cell r="O37">
            <v>0</v>
          </cell>
          <cell r="P37">
            <v>74.998999999999995</v>
          </cell>
          <cell r="T37" t="str">
            <v>Refrigerated Warehouse</v>
          </cell>
          <cell r="AC37">
            <v>305025</v>
          </cell>
          <cell r="AD37" t="str">
            <v>305025-Cooking-Commercial Fryer Replacing No Existing Equipment or Failed Equipment</v>
          </cell>
        </row>
        <row r="38">
          <cell r="B38" t="str">
            <v>Commercial dishwasher - ENERGY STAR®- Single tank conveyor</v>
          </cell>
          <cell r="C38">
            <v>1679</v>
          </cell>
          <cell r="D38">
            <v>1574</v>
          </cell>
          <cell r="E38" t="str">
            <v>Unit</v>
          </cell>
          <cell r="F38">
            <v>321330</v>
          </cell>
          <cell r="G38" t="str">
            <v>Commercial Kitchen</v>
          </cell>
          <cell r="J38" t="str">
            <v>Water Cooled Screw/Scroll Chiller &gt;= 75 and &lt;150 Tons (min. eff. of 0.71 kW/ton full load and 0.49 kW/ton IPLV)</v>
          </cell>
          <cell r="K38">
            <v>0.72</v>
          </cell>
          <cell r="L38">
            <v>0.56000000000000005</v>
          </cell>
          <cell r="M38">
            <v>0.71</v>
          </cell>
          <cell r="N38">
            <v>0.49</v>
          </cell>
          <cell r="O38">
            <v>75</v>
          </cell>
          <cell r="P38">
            <v>149.999</v>
          </cell>
          <cell r="AC38">
            <v>305030</v>
          </cell>
          <cell r="AD38" t="str">
            <v>305030-Cooking-Commercial Fryer Replacing Existing Equipment</v>
          </cell>
        </row>
        <row r="39">
          <cell r="B39" t="str">
            <v>Commercial dishwasher - ENERGY STAR® - Multiple tank conveyor</v>
          </cell>
          <cell r="C39">
            <v>3097</v>
          </cell>
          <cell r="D39">
            <v>2903</v>
          </cell>
          <cell r="E39" t="str">
            <v>Unit</v>
          </cell>
          <cell r="F39">
            <v>321430</v>
          </cell>
          <cell r="G39" t="str">
            <v>Commercial Kitchen</v>
          </cell>
          <cell r="J39" t="str">
            <v>Water Cooled Screw/Scroll Chiller &gt;=150 Tons and &lt;300 Tons (min. eff. of 0.65 kW/ton full load and 0.44 kW/ton IPLV)</v>
          </cell>
          <cell r="K39">
            <v>0.66</v>
          </cell>
          <cell r="L39">
            <v>0.54</v>
          </cell>
          <cell r="M39">
            <v>0.65</v>
          </cell>
          <cell r="N39">
            <v>0.44</v>
          </cell>
          <cell r="O39">
            <v>150</v>
          </cell>
          <cell r="P39">
            <v>299.99900000000002</v>
          </cell>
          <cell r="AC39">
            <v>305125</v>
          </cell>
          <cell r="AD39" t="str">
            <v>305125-Cooking-Commercial Range Hood Replacing No Existing Equipment or Failed Equipment</v>
          </cell>
        </row>
        <row r="40">
          <cell r="B40" t="str">
            <v>Commercial ice maker - ENERGY STAR®</v>
          </cell>
          <cell r="C40">
            <v>91</v>
          </cell>
          <cell r="D40">
            <v>85</v>
          </cell>
          <cell r="E40" t="str">
            <v>Unit</v>
          </cell>
          <cell r="F40">
            <v>321530</v>
          </cell>
          <cell r="G40" t="str">
            <v>Commercial Kitchen</v>
          </cell>
          <cell r="J40" t="str">
            <v>Water Cooled Screw/Scroll Chiller &gt;=300 Tons (min. eff. of 0.57 kW/ton full load and 0.41 kW/ton IPLV)</v>
          </cell>
          <cell r="K40">
            <v>0.58499999999999996</v>
          </cell>
          <cell r="L40">
            <v>0.51</v>
          </cell>
          <cell r="M40">
            <v>0.56999999999999995</v>
          </cell>
          <cell r="N40">
            <v>0.41</v>
          </cell>
          <cell r="O40">
            <v>300</v>
          </cell>
          <cell r="P40">
            <v>999999</v>
          </cell>
          <cell r="T40" t="str">
            <v>Yes</v>
          </cell>
          <cell r="AC40">
            <v>305130</v>
          </cell>
          <cell r="AD40" t="str">
            <v>305130-Cooking-Commercial Range Hood Replacing Existing Equipment</v>
          </cell>
        </row>
        <row r="41">
          <cell r="B41" t="str">
            <v>Convection commercial oven - ENERGY STAR®</v>
          </cell>
          <cell r="C41">
            <v>309</v>
          </cell>
          <cell r="D41">
            <v>290</v>
          </cell>
          <cell r="E41" t="str">
            <v>Unit</v>
          </cell>
          <cell r="F41">
            <v>321630</v>
          </cell>
          <cell r="G41" t="str">
            <v>Commercial Kitchen</v>
          </cell>
          <cell r="J41" t="str">
            <v>Water Cooled Centrifugal &lt;300 Tons (min. eff. of 0.60 kW/ton full load and 0.40 kW/ton IPLV)</v>
          </cell>
          <cell r="K41">
            <v>0.61</v>
          </cell>
          <cell r="L41">
            <v>0.55000000000000004</v>
          </cell>
          <cell r="M41">
            <v>0.6</v>
          </cell>
          <cell r="N41">
            <v>0.4</v>
          </cell>
          <cell r="O41">
            <v>0</v>
          </cell>
          <cell r="P41">
            <v>299.99900000000002</v>
          </cell>
          <cell r="T41" t="str">
            <v>No</v>
          </cell>
          <cell r="AC41">
            <v>305225</v>
          </cell>
          <cell r="AD41" t="str">
            <v>305225-Cooking-Commercial Steamer Replacing No Existing Equipment or Failed Equipment</v>
          </cell>
        </row>
        <row r="42">
          <cell r="B42" t="str">
            <v>Combination commercial oven &lt;15 Pan - ENERGY STAR®</v>
          </cell>
          <cell r="C42">
            <v>1840</v>
          </cell>
          <cell r="D42">
            <v>1725</v>
          </cell>
          <cell r="E42" t="str">
            <v>Unit</v>
          </cell>
          <cell r="F42">
            <v>321730</v>
          </cell>
          <cell r="G42" t="str">
            <v>Commercial Kitchen</v>
          </cell>
          <cell r="J42" t="str">
            <v>Water Cooled Centrifugal &gt;=300 and &lt;600 Tons (min. eff. of 0.55 kW/ton full load and 0.39 kW/ton IPLV)</v>
          </cell>
          <cell r="K42">
            <v>0.56000000000000005</v>
          </cell>
          <cell r="L42">
            <v>0.51</v>
          </cell>
          <cell r="M42">
            <v>0.55000000000000004</v>
          </cell>
          <cell r="N42">
            <v>0.39</v>
          </cell>
          <cell r="O42">
            <v>300</v>
          </cell>
          <cell r="P42">
            <v>599.99900000000002</v>
          </cell>
          <cell r="T42" t="str">
            <v>Unknown</v>
          </cell>
          <cell r="AC42">
            <v>305230</v>
          </cell>
          <cell r="AD42" t="str">
            <v>305230-Cooking-Commercial Steamer Replacing Existing Equipment</v>
          </cell>
        </row>
        <row r="43">
          <cell r="B43" t="str">
            <v>Combination commercial oven &gt;=15 Pan - ENERGY STAR®</v>
          </cell>
          <cell r="C43">
            <v>2967</v>
          </cell>
          <cell r="D43">
            <v>2781</v>
          </cell>
          <cell r="E43" t="str">
            <v>Unit</v>
          </cell>
          <cell r="F43">
            <v>321830</v>
          </cell>
          <cell r="G43" t="str">
            <v>Commercial Kitchen</v>
          </cell>
          <cell r="J43" t="str">
            <v>Water Cooled Centrifugal &gt;=600 Tons (min. eff. of 0.55 kW/ton full load and 0.38 kW/ton IPLV)</v>
          </cell>
          <cell r="K43">
            <v>0.56000000000000005</v>
          </cell>
          <cell r="L43">
            <v>0.5</v>
          </cell>
          <cell r="M43">
            <v>0.55000000000000004</v>
          </cell>
          <cell r="N43">
            <v>0.38</v>
          </cell>
          <cell r="O43">
            <v>600</v>
          </cell>
          <cell r="P43">
            <v>999999</v>
          </cell>
          <cell r="AC43">
            <v>305325</v>
          </cell>
          <cell r="AD43" t="str">
            <v>305325-Cooking-Hot Food Holding Cabinent Replacing No Existing Equipment or Failed Equipment</v>
          </cell>
        </row>
        <row r="44">
          <cell r="B44" t="str">
            <v>Commercial steam cooker - ENERGY STAR®</v>
          </cell>
          <cell r="C44">
            <v>3400</v>
          </cell>
          <cell r="D44">
            <v>3188</v>
          </cell>
          <cell r="E44" t="str">
            <v>Unit</v>
          </cell>
          <cell r="F44">
            <v>321930</v>
          </cell>
          <cell r="G44" t="str">
            <v>Commercial Kitchen</v>
          </cell>
          <cell r="AC44">
            <v>305330</v>
          </cell>
          <cell r="AD44" t="str">
            <v>305330-Cooking-Hot Food Holding Cabinent Replacing Existing Equipment</v>
          </cell>
        </row>
        <row r="45">
          <cell r="B45" t="str">
            <v xml:space="preserve">Low-Flow Sink Aerators - 1.5 GPM or Less - Only Electric Hot Water </v>
          </cell>
          <cell r="C45">
            <v>13</v>
          </cell>
          <cell r="D45">
            <v>12</v>
          </cell>
          <cell r="E45" t="str">
            <v>Aerator</v>
          </cell>
          <cell r="F45">
            <v>525025</v>
          </cell>
          <cell r="G45" t="str">
            <v>Water Fixture</v>
          </cell>
          <cell r="AC45"/>
          <cell r="AD45"/>
        </row>
        <row r="46">
          <cell r="B46" t="str">
            <v xml:space="preserve">Pre-Rinse Spray Valves - 1.28 GPM or Less - Only Electric Hot Water </v>
          </cell>
          <cell r="C46">
            <v>52</v>
          </cell>
          <cell r="D46">
            <v>49</v>
          </cell>
          <cell r="E46" t="str">
            <v>Spray Valve</v>
          </cell>
          <cell r="F46">
            <v>525325</v>
          </cell>
          <cell r="G46" t="str">
            <v>Water Fixture</v>
          </cell>
          <cell r="AC46">
            <v>407025</v>
          </cell>
          <cell r="AD46" t="str">
            <v>407025-Refrigeration-ECM Motor for Refrigeration Replacing No Existing Equipment or Failed Equipment</v>
          </cell>
        </row>
        <row r="47">
          <cell r="B47" t="str">
            <v xml:space="preserve">Low-Flow Showerhead - 1.75 GPM or Less - Only Electric Hot Water </v>
          </cell>
          <cell r="C47">
            <v>5</v>
          </cell>
          <cell r="D47">
            <v>4</v>
          </cell>
          <cell r="E47" t="str">
            <v>Showerhead</v>
          </cell>
          <cell r="F47">
            <v>525225</v>
          </cell>
          <cell r="G47" t="str">
            <v>Water Fixture</v>
          </cell>
          <cell r="AC47">
            <v>407025</v>
          </cell>
          <cell r="AD47" t="str">
            <v>407025-Refrigeration-ECM Motor for Refrigeration Replacing No Existing Equipment or Failed Equipment</v>
          </cell>
        </row>
        <row r="48">
          <cell r="B48"/>
          <cell r="C48"/>
          <cell r="D48"/>
          <cell r="E48"/>
          <cell r="F48"/>
          <cell r="G48"/>
          <cell r="J48" t="str">
            <v>SELECT AC MEASURE FROM DROPDOWN</v>
          </cell>
          <cell r="AC48">
            <v>407125</v>
          </cell>
          <cell r="AD48" t="str">
            <v>407125-Refrigeration-Commercial Freezer Replacing No Existing Equipment or Failed Equipment</v>
          </cell>
        </row>
        <row r="49">
          <cell r="B49"/>
          <cell r="C49"/>
          <cell r="D49"/>
          <cell r="E49"/>
          <cell r="F49"/>
          <cell r="G49"/>
          <cell r="J49" t="str">
            <v>A/C Unit (&lt; 5.42 Tons) - Min. efficiency of 12.3 EER/14.5 SEER2</v>
          </cell>
          <cell r="AC49">
            <v>407130</v>
          </cell>
          <cell r="AD49" t="str">
            <v>407130-Refrigeration-Commercial Freezer Replacing Existing Equipment</v>
          </cell>
        </row>
        <row r="50">
          <cell r="B50" t="str">
            <v>Advanced Power Strip</v>
          </cell>
          <cell r="C50">
            <v>16</v>
          </cell>
          <cell r="D50">
            <v>15</v>
          </cell>
          <cell r="E50" t="str">
            <v>Strip</v>
          </cell>
          <cell r="F50">
            <v>525625</v>
          </cell>
          <cell r="G50" t="str">
            <v>Miscellaneous</v>
          </cell>
          <cell r="J50" t="str">
            <v>A/C Unit (5.42 - 11.24 Tons) - Min. efficiency 12.2 EER/14.8 SEER</v>
          </cell>
          <cell r="AC50">
            <v>407225</v>
          </cell>
          <cell r="AD50" t="str">
            <v>407225-Refrigeration-Commercial Refrigerator Replacing No Existing Equipment or Failed Equipment</v>
          </cell>
        </row>
        <row r="51">
          <cell r="B51" t="str">
            <v>PC Power Management</v>
          </cell>
          <cell r="C51">
            <v>32</v>
          </cell>
          <cell r="D51">
            <v>30</v>
          </cell>
          <cell r="E51" t="str">
            <v>PC</v>
          </cell>
          <cell r="F51">
            <v>935730</v>
          </cell>
          <cell r="G51" t="str">
            <v>Miscellaneous</v>
          </cell>
          <cell r="J51" t="str">
            <v>A/C Unit (11.25 - 19.9 Tons) - Min. efficiency 12.2 EER/14.8 SEER</v>
          </cell>
          <cell r="AC51">
            <v>407230</v>
          </cell>
          <cell r="AD51" t="str">
            <v>407230-Refrigeration-Commercial Refrigerator Replacing Existing Equipment</v>
          </cell>
        </row>
        <row r="52">
          <cell r="J52" t="str">
            <v>A/C Unit (&gt;= 20 Tons) - Min. efficiency 10.8 EER/13.5 SEER</v>
          </cell>
          <cell r="AC52">
            <v>407425</v>
          </cell>
          <cell r="AD52" t="str">
            <v>407425-Refrigeration-Freezer Insulation Replacing No Existing Equipment or Failed Equipment</v>
          </cell>
        </row>
        <row r="53">
          <cell r="AC53">
            <v>407430</v>
          </cell>
          <cell r="AD53" t="str">
            <v>407430-Refrigeration-Freezer Insulation Replacing Existing Equipment</v>
          </cell>
        </row>
        <row r="54">
          <cell r="B54" t="str">
            <v>Pre-Retrofit</v>
          </cell>
          <cell r="AC54">
            <v>407525</v>
          </cell>
          <cell r="AD54" t="str">
            <v>407525-Refrigeration-Refrigeration Insulation Replacing No Existing Equipment or Failed Equipment</v>
          </cell>
        </row>
        <row r="55">
          <cell r="B55" t="str">
            <v>Post-Retrofit</v>
          </cell>
          <cell r="J55" t="str">
            <v>SELECT HP MEASURE FROM DROPDOWN</v>
          </cell>
          <cell r="AC55">
            <v>407530</v>
          </cell>
          <cell r="AD55" t="str">
            <v>407530-Refrigeration-Refrigeration Insulation Replacing Existing Equipment</v>
          </cell>
        </row>
        <row r="56">
          <cell r="J56" t="str">
            <v>Heat Pump (&lt; 5.42 Tons) - Min. efficiency 12.3 EER/14.5 SEER2/8.0 HSPF2</v>
          </cell>
          <cell r="AC56">
            <v>407625</v>
          </cell>
          <cell r="AD56" t="str">
            <v>407625-Refrigeration-Controls Replacing No Existing Equipment or Failed Equipment</v>
          </cell>
        </row>
        <row r="57">
          <cell r="J57" t="str">
            <v>Heat Pump (5.42 - 11.24 Tons) - Min. efficiency 11.3 EER/14.5 SEER/12.0 HSPF</v>
          </cell>
          <cell r="AC57">
            <v>407630</v>
          </cell>
          <cell r="AD57" t="str">
            <v>407630-Refrigeration-Controls Replacing Existing Equipment</v>
          </cell>
        </row>
        <row r="58">
          <cell r="B58" t="str">
            <v>A/C with Gas Heat</v>
          </cell>
          <cell r="J58" t="str">
            <v>Heat Pump (11.25 - 19.9 Tons) - Min. efficiency 10.9 EER/14.0 SEER/12.0 HSPF</v>
          </cell>
          <cell r="AC58">
            <v>424830</v>
          </cell>
          <cell r="AD58" t="str">
            <v>424830-Refrigeration-Door Gaskets - Coolers (Refrigeration)</v>
          </cell>
        </row>
        <row r="59">
          <cell r="B59" t="str">
            <v>A/C with Electric Resistance Heat</v>
          </cell>
          <cell r="J59" t="str">
            <v>Heat Pump (&gt;= 20 Tons) - Min. efficiency 10.3 EER/13.0 SEER/12.0 HSPF</v>
          </cell>
          <cell r="AC59">
            <v>424830</v>
          </cell>
          <cell r="AD59" t="str">
            <v>424830-Refrigeration-Door Gaskets - Coolers (Refrigeration)</v>
          </cell>
        </row>
        <row r="60">
          <cell r="B60" t="str">
            <v>A/C with Heat Pump</v>
          </cell>
          <cell r="AC60">
            <v>424930</v>
          </cell>
          <cell r="AD60" t="str">
            <v>424930-Refrigeration-Door Gaskets - Freezers (Refrigeration)</v>
          </cell>
        </row>
        <row r="61">
          <cell r="B61" t="str">
            <v>A/C with No/Unknown Heat</v>
          </cell>
          <cell r="AC61">
            <v>424930</v>
          </cell>
          <cell r="AD61" t="str">
            <v>424930-Refrigeration-Door Gaskets - Freezers (Refrigeration)</v>
          </cell>
        </row>
        <row r="62">
          <cell r="B62" t="str">
            <v>Refrigerated Space - Med. Temp (33-41°F)</v>
          </cell>
          <cell r="AC62">
            <v>425030</v>
          </cell>
          <cell r="AD62" t="str">
            <v>425030-Refrigeration-Auto Door-Closers - Coolers (Refrigeration)</v>
          </cell>
        </row>
        <row r="63">
          <cell r="B63" t="str">
            <v>Refrigerated Space - Low Temp (-10-10°F)</v>
          </cell>
          <cell r="AC63">
            <v>425030</v>
          </cell>
          <cell r="AD63" t="str">
            <v>425030-Refrigeration-Auto Door-Closers - Coolers (Refrigeration)</v>
          </cell>
        </row>
        <row r="64">
          <cell r="B64" t="str">
            <v>Unconditioned</v>
          </cell>
          <cell r="AC64">
            <v>425130</v>
          </cell>
          <cell r="AD64" t="str">
            <v>425130-Refrigeration-Auto Door-Closers - Freezers (Refrigeration)</v>
          </cell>
        </row>
        <row r="65">
          <cell r="AC65">
            <v>425130</v>
          </cell>
          <cell r="AD65" t="str">
            <v>425130-Refrigeration-Auto Door-Closers - Freezers (Refrigeration)</v>
          </cell>
        </row>
        <row r="66">
          <cell r="AC66"/>
          <cell r="AD66"/>
        </row>
        <row r="67">
          <cell r="AC67"/>
          <cell r="AD67"/>
        </row>
        <row r="68">
          <cell r="AC68">
            <v>505425</v>
          </cell>
          <cell r="AD68" t="str">
            <v>505425-Water Heating-Heat Pump Pool Heater Replacing No Existing Equipment or Failed Equipment</v>
          </cell>
        </row>
        <row r="69">
          <cell r="AC69">
            <v>505430</v>
          </cell>
          <cell r="AD69" t="str">
            <v>505430-Water Heating-Heat Pump Pool Heater Replacing Existing Equipment</v>
          </cell>
        </row>
        <row r="70">
          <cell r="AC70">
            <v>505525</v>
          </cell>
          <cell r="AD70" t="str">
            <v>505525-Water Heating-Heat Pump Water Heater Replacing No Existing Equipment or Failed Equipment</v>
          </cell>
        </row>
        <row r="71">
          <cell r="AC71">
            <v>505530</v>
          </cell>
          <cell r="AD71" t="str">
            <v>505530-Water Heating-Heat Pump Water Heater Replacing Existing Equipment</v>
          </cell>
        </row>
        <row r="72">
          <cell r="AC72">
            <v>606225</v>
          </cell>
          <cell r="AD72" t="str">
            <v>606225-Motors-Efficient Motor Replacing No Existing Equipment or Failed Equipment</v>
          </cell>
        </row>
        <row r="73">
          <cell r="AC73">
            <v>606230</v>
          </cell>
          <cell r="AD73" t="str">
            <v>606230-Motors-Efficient Motor Replacing Existing Equipment</v>
          </cell>
        </row>
        <row r="74">
          <cell r="AC74">
            <v>606325</v>
          </cell>
          <cell r="AD74" t="str">
            <v>606325-Motors-Efficient Pumps Replacing No Existing Equipment or Failed Equipment</v>
          </cell>
        </row>
        <row r="75">
          <cell r="AC75">
            <v>606330</v>
          </cell>
          <cell r="AD75" t="str">
            <v>606330-Motors-Efficient Pumps Replacing Existing Equipment</v>
          </cell>
        </row>
        <row r="76">
          <cell r="AC76">
            <v>606415</v>
          </cell>
          <cell r="AD76" t="str">
            <v>606415-Motors-Grain Bin Aeration Controls</v>
          </cell>
        </row>
        <row r="77">
          <cell r="AC77">
            <v>606525</v>
          </cell>
          <cell r="AD77" t="str">
            <v>606525-Motors-VFD for Pump Replacing No Existing Equipment or Failed Equipment</v>
          </cell>
        </row>
        <row r="78">
          <cell r="AC78">
            <v>606730</v>
          </cell>
          <cell r="AD78" t="str">
            <v>606730-Motors-Low Pressure Irrigation</v>
          </cell>
        </row>
        <row r="79">
          <cell r="AC79">
            <v>606825</v>
          </cell>
          <cell r="AD79" t="str">
            <v>606825-Motors-VFD for Process Motor Replacing No Existing Equipment or Failed Equipment</v>
          </cell>
        </row>
        <row r="80">
          <cell r="AC80">
            <v>606830</v>
          </cell>
          <cell r="AD80" t="str">
            <v>606830-Motors-Potato/Onion Shed Variable Frequency Drive Ventilation Fan</v>
          </cell>
        </row>
        <row r="81">
          <cell r="AC81">
            <v>606930</v>
          </cell>
          <cell r="AD81" t="str">
            <v>606930-Motors-Temperature Based On/Off Livestock Ventilation Controller</v>
          </cell>
        </row>
        <row r="82">
          <cell r="AC82"/>
          <cell r="AD82"/>
        </row>
        <row r="83">
          <cell r="AC83">
            <v>705625</v>
          </cell>
          <cell r="AD83" t="str">
            <v>705625-Compressed Air-Efficient Air Compressor Replacing No Existing Equipment or Failed Equipment</v>
          </cell>
        </row>
        <row r="84">
          <cell r="AC84">
            <v>705630</v>
          </cell>
          <cell r="AD84" t="str">
            <v>705630-Compressed Air-Efficient Air Compressor Replacing Existing Equipment</v>
          </cell>
        </row>
        <row r="85">
          <cell r="AC85">
            <v>705725</v>
          </cell>
          <cell r="AD85" t="str">
            <v>705725-Compressed Air-Compressed Air Optimization Replacing No Existing Equipment or Failed Equipment</v>
          </cell>
        </row>
        <row r="86">
          <cell r="AC86">
            <v>705730</v>
          </cell>
          <cell r="AD86" t="str">
            <v>705730-Compressed Air-Compressed Air Optimization Replacing Existing Equipment</v>
          </cell>
        </row>
        <row r="87">
          <cell r="AC87">
            <v>705825</v>
          </cell>
          <cell r="AD87" t="str">
            <v>705825-Compressed Air-VFD for Air Compressor Replacing No Existing Equipment or Failed Equipment</v>
          </cell>
        </row>
        <row r="88">
          <cell r="AC88">
            <v>705825</v>
          </cell>
          <cell r="AD88" t="str">
            <v>705825-Compressed Air-VFD for Air Compressor Replacing No Existing Equipment or Failed Equipment</v>
          </cell>
        </row>
        <row r="89">
          <cell r="AC89">
            <v>705830</v>
          </cell>
          <cell r="AD89" t="str">
            <v>705830-Compressed Air-VFD for Air Compressor Replacing Existing Equipment</v>
          </cell>
        </row>
        <row r="90">
          <cell r="AC90">
            <v>706125</v>
          </cell>
          <cell r="AD90" t="str">
            <v>706125-Compressed Air-Compressed Air Engineered Nozzle Replacing No Existing Equipment or Failed Equipment</v>
          </cell>
        </row>
        <row r="91">
          <cell r="AC91">
            <v>706130</v>
          </cell>
          <cell r="AD91" t="str">
            <v>706130-Compressed Air-Compressed Air Engineered Nozzle Replacing Existing Equipment</v>
          </cell>
        </row>
        <row r="92">
          <cell r="AC92">
            <v>804225</v>
          </cell>
          <cell r="AD92" t="str">
            <v>804225-Building Shell-Efficient Wall Insulation Replacing No Existing Equipment or Failed Equipment</v>
          </cell>
        </row>
        <row r="93">
          <cell r="AC93">
            <v>804230</v>
          </cell>
          <cell r="AD93" t="str">
            <v>804230-Building Shell-Efficient Wall Insulation Replacing Existing Insulation</v>
          </cell>
        </row>
        <row r="94">
          <cell r="AC94">
            <v>804325</v>
          </cell>
          <cell r="AD94" t="str">
            <v>804325-Building Shell-Efficient Window Film Replacing No Existing Window Film or Failed Window Film</v>
          </cell>
        </row>
        <row r="95">
          <cell r="AC95">
            <v>804425</v>
          </cell>
          <cell r="AD95" t="str">
            <v>804425-Building Shell-Efficient Window Replacing No Existing Window or Failed Window</v>
          </cell>
        </row>
        <row r="96">
          <cell r="AC96">
            <v>804430</v>
          </cell>
          <cell r="AD96" t="str">
            <v>804430-Building Shell-Efficient Window Replacing Existing Window</v>
          </cell>
        </row>
        <row r="97">
          <cell r="AC97">
            <v>906630</v>
          </cell>
          <cell r="AD97" t="str">
            <v>906630-Miscellaneous-ENERGY STAR Dehumidifier for Indoor Agriculture</v>
          </cell>
        </row>
        <row r="98">
          <cell r="AC98">
            <v>907430</v>
          </cell>
          <cell r="AD98" t="str">
            <v>907430-Miscellaneous-Efficient Custom Agriculture Equipment Replacing Existing Equipment</v>
          </cell>
        </row>
        <row r="99">
          <cell r="AC99">
            <v>915925</v>
          </cell>
          <cell r="AD99" t="str">
            <v>915925-Process-Optimizing Process Cooling Replacing No Existing Equipment or Failed Equipment</v>
          </cell>
        </row>
        <row r="100">
          <cell r="AC100">
            <v>915930</v>
          </cell>
          <cell r="AD100" t="str">
            <v>915930-Process-Optimizing Process Cooling Replacing Existing Equipment</v>
          </cell>
        </row>
        <row r="101">
          <cell r="AC101">
            <v>916025</v>
          </cell>
          <cell r="AD101" t="str">
            <v>916025-Process-Optimizing Process Heating Replacing No Existing Equipment or Failed Equipment</v>
          </cell>
        </row>
        <row r="102">
          <cell r="AC102">
            <v>916030</v>
          </cell>
          <cell r="AD102" t="str">
            <v>916030-Process-Optimizing Process Heating Replacing Existing Equipment</v>
          </cell>
        </row>
        <row r="103">
          <cell r="AC103"/>
          <cell r="AD103"/>
        </row>
        <row r="104">
          <cell r="AC104"/>
          <cell r="AD104"/>
        </row>
        <row r="105">
          <cell r="AC105"/>
          <cell r="AD105"/>
        </row>
        <row r="106">
          <cell r="AC106" t="str">
            <v>804530</v>
          </cell>
          <cell r="AD106" t="str">
            <v>Cool Roof</v>
          </cell>
        </row>
        <row r="107">
          <cell r="AC107" t="str">
            <v>804630</v>
          </cell>
          <cell r="AD107" t="str">
            <v>Roof or Ceiling Insulation</v>
          </cell>
        </row>
        <row r="108">
          <cell r="AC108" t="str">
            <v>804730</v>
          </cell>
          <cell r="AD108" t="str">
            <v>Building Envelope Custom Measure - Other</v>
          </cell>
        </row>
        <row r="109">
          <cell r="AC109" t="str">
            <v>204230</v>
          </cell>
          <cell r="AD109" t="str">
            <v>Air Handler Coil Cleaning</v>
          </cell>
        </row>
        <row r="110">
          <cell r="AC110" t="str">
            <v>204330</v>
          </cell>
          <cell r="AD110" t="str">
            <v>Chiller Plant Optimization</v>
          </cell>
        </row>
        <row r="111">
          <cell r="AC111" t="str">
            <v>204430</v>
          </cell>
          <cell r="AD111" t="str">
            <v>HVAC Custom Measure - Other</v>
          </cell>
        </row>
      </sheetData>
      <sheetData sheetId="12">
        <row r="2">
          <cell r="H2" t="str">
            <v>ECM Fan (Refr.) Savings</v>
          </cell>
          <cell r="I2" t="str">
            <v>kWh</v>
          </cell>
          <cell r="J2" t="str">
            <v>kW</v>
          </cell>
          <cell r="N2" t="str">
            <v>Concat Name</v>
          </cell>
          <cell r="O2" t="str">
            <v>Measure Name</v>
          </cell>
          <cell r="P2" t="str">
            <v>Water Temp</v>
          </cell>
          <cell r="Q2" t="str">
            <v>Heater/Booster Fuel</v>
          </cell>
          <cell r="R2" t="str">
            <v>kWh</v>
          </cell>
          <cell r="S2" t="str">
            <v>kW</v>
          </cell>
          <cell r="U2" t="str">
            <v>Aerator Savings (Building Type)</v>
          </cell>
          <cell r="V2" t="str">
            <v>kWh</v>
          </cell>
          <cell r="W2" t="str">
            <v>kW</v>
          </cell>
        </row>
        <row r="3">
          <cell r="H3" t="str">
            <v>Freezer (low temp.)</v>
          </cell>
          <cell r="I3">
            <v>903.25033846153838</v>
          </cell>
          <cell r="J3">
            <v>0.10311076923076924</v>
          </cell>
          <cell r="N3" t="str">
            <v>Commercial dishwasher - ENERGY STAR® - Under counterHigh TempElectric/Electric</v>
          </cell>
          <cell r="O3" t="str">
            <v>Commercial dishwasher - ENERGY STAR® - Under counter</v>
          </cell>
          <cell r="P3" t="str">
            <v>High Temp</v>
          </cell>
          <cell r="Q3" t="str">
            <v>Electric/Electric</v>
          </cell>
          <cell r="R3">
            <v>3198</v>
          </cell>
          <cell r="S3">
            <v>0.4</v>
          </cell>
          <cell r="U3" t="str">
            <v>Prison</v>
          </cell>
          <cell r="V3">
            <v>1920.6022249626349</v>
          </cell>
          <cell r="W3">
            <v>0.21047695616028878</v>
          </cell>
        </row>
        <row r="4">
          <cell r="H4" t="str">
            <v>Cooler (medium-temp.)</v>
          </cell>
          <cell r="I4">
            <v>760.36799999999994</v>
          </cell>
          <cell r="J4">
            <v>8.6800000000000002E-2</v>
          </cell>
          <cell r="N4" t="str">
            <v>Commercial dishwasher - ENERGY STAR® - Under counterHigh TempGas/Electric</v>
          </cell>
          <cell r="O4" t="str">
            <v>Commercial dishwasher - ENERGY STAR® - Under counter</v>
          </cell>
          <cell r="P4" t="str">
            <v>High Temp</v>
          </cell>
          <cell r="Q4" t="str">
            <v>Gas/Electric</v>
          </cell>
          <cell r="R4">
            <v>2099</v>
          </cell>
          <cell r="S4">
            <v>0.3</v>
          </cell>
          <cell r="U4" t="str">
            <v>Hospital, Nursing Home</v>
          </cell>
          <cell r="V4">
            <v>192.06022249626355</v>
          </cell>
          <cell r="W4">
            <v>1.5785771712021657E-2</v>
          </cell>
        </row>
        <row r="5">
          <cell r="N5" t="str">
            <v>Commercial dishwasher - ENERGY STAR® - Under counterHigh TempGas/Gas</v>
          </cell>
          <cell r="O5" t="str">
            <v>Commercial dishwasher - ENERGY STAR® - Under counter</v>
          </cell>
          <cell r="P5" t="str">
            <v>High Temp</v>
          </cell>
          <cell r="Q5" t="str">
            <v>Gas/Gas</v>
          </cell>
          <cell r="R5">
            <v>1471</v>
          </cell>
          <cell r="S5">
            <v>0.2</v>
          </cell>
          <cell r="U5" t="str">
            <v>Dormitory</v>
          </cell>
          <cell r="V5">
            <v>1441.7671496979781</v>
          </cell>
          <cell r="W5">
            <v>0.21047695616028878</v>
          </cell>
        </row>
        <row r="6">
          <cell r="H6" t="str">
            <v>Evap. Fan Controller Savings</v>
          </cell>
          <cell r="I6" t="str">
            <v>kWh</v>
          </cell>
          <cell r="J6" t="str">
            <v>kW</v>
          </cell>
          <cell r="N6" t="str">
            <v>Commercial dishwasher - ENERGY STAR® - Under counterLow TempElectric/No Booster</v>
          </cell>
          <cell r="O6" t="str">
            <v>Commercial dishwasher - ENERGY STAR® - Under counter</v>
          </cell>
          <cell r="P6" t="str">
            <v>Low Temp</v>
          </cell>
          <cell r="Q6" t="str">
            <v>Electric/No Booster</v>
          </cell>
          <cell r="R6">
            <v>2580</v>
          </cell>
          <cell r="S6">
            <v>0.3</v>
          </cell>
          <cell r="U6" t="str">
            <v>Multifamily</v>
          </cell>
          <cell r="V6">
            <v>192.06022249626355</v>
          </cell>
          <cell r="W6">
            <v>1.5785771712021657E-2</v>
          </cell>
          <cell r="AE6" t="str">
            <v>APS Savings (Program)</v>
          </cell>
          <cell r="AF6" t="str">
            <v>Application</v>
          </cell>
          <cell r="AG6" t="str">
            <v>kWh</v>
          </cell>
          <cell r="AH6" t="str">
            <v>kW</v>
          </cell>
        </row>
        <row r="7">
          <cell r="H7" t="str">
            <v>Freezer (low temp.)</v>
          </cell>
          <cell r="I7">
            <v>543.47039999999993</v>
          </cell>
          <cell r="J7">
            <v>6.2039999999999991E-2</v>
          </cell>
          <cell r="N7" t="str">
            <v>Commercial dishwasher - ENERGY STAR® - Under counterLow TempGas/No Booster</v>
          </cell>
          <cell r="O7" t="str">
            <v>Commercial dishwasher - ENERGY STAR® - Under counter</v>
          </cell>
          <cell r="P7" t="str">
            <v>Low Temp</v>
          </cell>
          <cell r="Q7" t="str">
            <v>Gas/No Booster</v>
          </cell>
          <cell r="R7">
            <v>0</v>
          </cell>
          <cell r="S7">
            <v>0</v>
          </cell>
          <cell r="U7" t="str">
            <v>Lodging</v>
          </cell>
          <cell r="V7">
            <v>192.06022249626355</v>
          </cell>
          <cell r="W7">
            <v>1.0523847808014438E-2</v>
          </cell>
          <cell r="AE7" t="str">
            <v>Large Commercial &amp; Industrial Solutions</v>
          </cell>
          <cell r="AF7" t="str">
            <v>Office</v>
          </cell>
          <cell r="AG7">
            <v>71.400000000000006</v>
          </cell>
          <cell r="AH7">
            <v>0</v>
          </cell>
        </row>
        <row r="8">
          <cell r="H8" t="str">
            <v>Cooler (medium-temp.)</v>
          </cell>
          <cell r="I8">
            <v>501.072</v>
          </cell>
          <cell r="J8">
            <v>5.7200000000000001E-2</v>
          </cell>
          <cell r="N8" t="str">
            <v>Commercial dishwasher - ENERGY STAR® - Stationary Single Tank DoorHigh TempElectric/Electric</v>
          </cell>
          <cell r="O8" t="str">
            <v>Commercial dishwasher - ENERGY STAR® - Stationary Single Tank Door</v>
          </cell>
          <cell r="P8" t="str">
            <v>High Temp</v>
          </cell>
          <cell r="Q8" t="str">
            <v>Electric/Electric</v>
          </cell>
          <cell r="R8">
            <v>12040</v>
          </cell>
          <cell r="S8">
            <v>1.5</v>
          </cell>
          <cell r="U8" t="str">
            <v>Commercial</v>
          </cell>
          <cell r="V8">
            <v>1315.4809760018047</v>
          </cell>
          <cell r="W8">
            <v>0.42095391232057755</v>
          </cell>
          <cell r="AE8" t="str">
            <v>Small Commercial Solutions</v>
          </cell>
          <cell r="AF8" t="str">
            <v>Small Business</v>
          </cell>
          <cell r="AG8">
            <v>61.2</v>
          </cell>
          <cell r="AH8">
            <v>0</v>
          </cell>
        </row>
        <row r="9">
          <cell r="H9" t="str">
            <v>Cooler (high-temp.)</v>
          </cell>
          <cell r="I9">
            <v>462.52799999999996</v>
          </cell>
          <cell r="J9">
            <v>5.2799999999999993E-2</v>
          </cell>
          <cell r="N9" t="str">
            <v>Commercial dishwasher - ENERGY STAR® - Stationary Single Tank DoorHigh TempGas/Electric</v>
          </cell>
          <cell r="O9" t="str">
            <v>Commercial dishwasher - ENERGY STAR® - Stationary Single Tank Door</v>
          </cell>
          <cell r="P9" t="str">
            <v>High Temp</v>
          </cell>
          <cell r="Q9" t="str">
            <v>Gas/Electric</v>
          </cell>
          <cell r="R9">
            <v>4905</v>
          </cell>
          <cell r="S9">
            <v>0.6</v>
          </cell>
          <cell r="U9" t="str">
            <v>School</v>
          </cell>
          <cell r="V9">
            <v>1052.3847808014436</v>
          </cell>
          <cell r="W9">
            <v>0.26309619520036093</v>
          </cell>
        </row>
        <row r="10">
          <cell r="N10" t="str">
            <v>Commercial dishwasher - ENERGY STAR® - Stationary Single Tank DoorHigh TempGas/Gas</v>
          </cell>
          <cell r="O10" t="str">
            <v>Commercial dishwasher - ENERGY STAR® - Stationary Single Tank Door</v>
          </cell>
          <cell r="P10" t="str">
            <v>High Temp</v>
          </cell>
          <cell r="Q10" t="str">
            <v>Gas/Gas</v>
          </cell>
          <cell r="R10">
            <v>827</v>
          </cell>
          <cell r="S10">
            <v>0.1</v>
          </cell>
          <cell r="U10" t="str">
            <v>Other</v>
          </cell>
          <cell r="V10">
            <v>1008.4853013737264</v>
          </cell>
          <cell r="W10">
            <v>0.13391059404687758</v>
          </cell>
          <cell r="AE10" t="str">
            <v>PC Power Management (Controlled Device)</v>
          </cell>
          <cell r="AF10" t="str">
            <v>kWh</v>
          </cell>
          <cell r="AG10" t="str">
            <v>kW</v>
          </cell>
        </row>
        <row r="11">
          <cell r="H11" t="str">
            <v>ASHC Savings</v>
          </cell>
          <cell r="I11" t="str">
            <v>kWh/lf</v>
          </cell>
          <cell r="J11" t="str">
            <v>kW/lf</v>
          </cell>
          <cell r="N11" t="str">
            <v>Commercial dishwasher - ENERGY STAR® - Stationary Single Tank DoorLow TempElectric/No Booster</v>
          </cell>
          <cell r="O11" t="str">
            <v>Commercial dishwasher - ENERGY STAR® - Stationary Single Tank Door</v>
          </cell>
          <cell r="P11" t="str">
            <v>Low Temp</v>
          </cell>
          <cell r="Q11" t="str">
            <v>Electric/No Booster</v>
          </cell>
          <cell r="R11">
            <v>16411</v>
          </cell>
          <cell r="S11">
            <v>2.1</v>
          </cell>
          <cell r="AE11" t="str">
            <v>LCD Monitor</v>
          </cell>
          <cell r="AF11">
            <v>158.72</v>
          </cell>
          <cell r="AG11">
            <v>8.0000000000000002E-3</v>
          </cell>
        </row>
        <row r="12">
          <cell r="H12" t="str">
            <v>Freezer (low temp.)</v>
          </cell>
          <cell r="I12">
            <v>259</v>
          </cell>
          <cell r="J12">
            <v>6.0000000000000001E-3</v>
          </cell>
          <cell r="N12" t="str">
            <v>Commercial dishwasher - ENERGY STAR® - Stationary Single Tank DoorLow TempGas/No Booster</v>
          </cell>
          <cell r="O12" t="str">
            <v>Commercial dishwasher - ENERGY STAR® - Stationary Single Tank Door</v>
          </cell>
          <cell r="P12" t="str">
            <v>Low Temp</v>
          </cell>
          <cell r="Q12" t="str">
            <v>Gas/No Booster</v>
          </cell>
          <cell r="R12">
            <v>0</v>
          </cell>
          <cell r="S12">
            <v>0</v>
          </cell>
          <cell r="AE12" t="str">
            <v>Desktop Computer</v>
          </cell>
          <cell r="AF12">
            <v>337.92</v>
          </cell>
          <cell r="AG12">
            <v>1.7000000000000001E-2</v>
          </cell>
        </row>
        <row r="13">
          <cell r="H13" t="str">
            <v>Cooler (medium-temp.)</v>
          </cell>
          <cell r="I13">
            <v>248</v>
          </cell>
          <cell r="J13">
            <v>4.5999999999999999E-3</v>
          </cell>
          <cell r="N13" t="str">
            <v>Commercial dishwasher - ENERGY STAR® - Pots, pans and utensilsHigh TempElectric/Electric</v>
          </cell>
          <cell r="O13" t="str">
            <v>Commercial dishwasher - ENERGY STAR® - Pots, pans and utensils</v>
          </cell>
          <cell r="P13" t="str">
            <v>High Temp</v>
          </cell>
          <cell r="Q13" t="str">
            <v>Electric/Electric</v>
          </cell>
          <cell r="R13">
            <v>3364</v>
          </cell>
          <cell r="S13">
            <v>0.4</v>
          </cell>
          <cell r="AE13" t="str">
            <v>Notebook (including display)</v>
          </cell>
          <cell r="AF13">
            <v>97.28</v>
          </cell>
          <cell r="AG13">
            <v>5.0000000000000001E-3</v>
          </cell>
        </row>
        <row r="14">
          <cell r="H14" t="str">
            <v>Unknown</v>
          </cell>
          <cell r="I14">
            <v>253.5</v>
          </cell>
          <cell r="J14">
            <v>5.3E-3</v>
          </cell>
          <cell r="N14" t="str">
            <v>Commercial dishwasher - ENERGY STAR® - Pots, pans and utensilsHigh TempGas/Electric</v>
          </cell>
          <cell r="O14" t="str">
            <v>Commercial dishwasher - ENERGY STAR® - Pots, pans and utensils</v>
          </cell>
          <cell r="P14" t="str">
            <v>High Temp</v>
          </cell>
          <cell r="Q14" t="str">
            <v>Gas/Electric</v>
          </cell>
          <cell r="R14">
            <v>1223</v>
          </cell>
          <cell r="S14">
            <v>0.2</v>
          </cell>
        </row>
        <row r="15">
          <cell r="N15" t="str">
            <v>Commercial dishwasher - ENERGY STAR® - Pots, pans and utensilsHigh TempGas/Gas</v>
          </cell>
          <cell r="O15" t="str">
            <v>Commercial dishwasher - ENERGY STAR® - Pots, pans and utensils</v>
          </cell>
          <cell r="P15" t="str">
            <v>High Temp</v>
          </cell>
          <cell r="Q15" t="str">
            <v>Gas/Gas</v>
          </cell>
          <cell r="R15">
            <v>0</v>
          </cell>
          <cell r="S15">
            <v>0</v>
          </cell>
        </row>
        <row r="16">
          <cell r="H16" t="str">
            <v>Night Cover Savings</v>
          </cell>
          <cell r="I16" t="str">
            <v>kWh/lf</v>
          </cell>
          <cell r="J16" t="str">
            <v>kW/lf</v>
          </cell>
          <cell r="N16" t="str">
            <v>Commercial dishwasher - ENERGY STAR®- Single tank conveyorHigh TempElectric/Electric</v>
          </cell>
          <cell r="O16" t="str">
            <v>Commercial dishwasher - ENERGY STAR®- Single tank conveyor</v>
          </cell>
          <cell r="P16" t="str">
            <v>High Temp</v>
          </cell>
          <cell r="Q16" t="str">
            <v>Electric/Electric</v>
          </cell>
          <cell r="R16">
            <v>9319</v>
          </cell>
          <cell r="S16">
            <v>1.2</v>
          </cell>
        </row>
        <row r="17">
          <cell r="H17" t="str">
            <v>Vertical Open, Remote Condensing , Medium-temp</v>
          </cell>
          <cell r="I17">
            <v>112</v>
          </cell>
          <cell r="J17">
            <v>0</v>
          </cell>
          <cell r="N17" t="str">
            <v>Commercial dishwasher - ENERGY STAR®- Single tank conveyorHigh TempGas/Electric</v>
          </cell>
          <cell r="O17" t="str">
            <v>Commercial dishwasher - ENERGY STAR®- Single tank conveyor</v>
          </cell>
          <cell r="P17" t="str">
            <v>High Temp</v>
          </cell>
          <cell r="Q17" t="str">
            <v>Gas/Electric</v>
          </cell>
          <cell r="R17">
            <v>4987</v>
          </cell>
          <cell r="S17">
            <v>0.6</v>
          </cell>
        </row>
        <row r="18">
          <cell r="H18" t="str">
            <v>Vertical Open, Remote Condensing , Low-temp</v>
          </cell>
          <cell r="I18">
            <v>209</v>
          </cell>
          <cell r="J18">
            <v>0</v>
          </cell>
          <cell r="N18" t="str">
            <v>Commercial dishwasher - ENERGY STAR®- Single tank conveyorHigh TempGas/Gas</v>
          </cell>
          <cell r="O18" t="str">
            <v>Commercial dishwasher - ENERGY STAR®- Single tank conveyor</v>
          </cell>
          <cell r="P18" t="str">
            <v>High Temp</v>
          </cell>
          <cell r="Q18" t="str">
            <v>Gas/Gas</v>
          </cell>
          <cell r="R18">
            <v>2511</v>
          </cell>
          <cell r="S18">
            <v>0.3</v>
          </cell>
        </row>
        <row r="19">
          <cell r="H19" t="str">
            <v>Vertical Open, Self-Contained, Medium-temp</v>
          </cell>
          <cell r="I19">
            <v>182</v>
          </cell>
          <cell r="J19">
            <v>0</v>
          </cell>
          <cell r="N19" t="str">
            <v>Commercial dishwasher - ENERGY STAR®- Single tank conveyorLow TempElectric/No Booster</v>
          </cell>
          <cell r="O19" t="str">
            <v>Commercial dishwasher - ENERGY STAR®- Single tank conveyor</v>
          </cell>
          <cell r="P19" t="str">
            <v>Low Temp</v>
          </cell>
          <cell r="Q19" t="str">
            <v>Electric/No Booster</v>
          </cell>
          <cell r="R19">
            <v>13835</v>
          </cell>
          <cell r="S19">
            <v>1.8</v>
          </cell>
        </row>
        <row r="20">
          <cell r="H20" t="str">
            <v>Semivertical Open, Remote Condensing, Medium-temp</v>
          </cell>
          <cell r="I20">
            <v>83</v>
          </cell>
          <cell r="J20">
            <v>0</v>
          </cell>
          <cell r="N20" t="str">
            <v>Commercial dishwasher - ENERGY STAR®- Single tank conveyorLow TempGas/No Booster</v>
          </cell>
          <cell r="O20" t="str">
            <v>Commercial dishwasher - ENERGY STAR®- Single tank conveyor</v>
          </cell>
          <cell r="P20" t="str">
            <v>Low Temp</v>
          </cell>
          <cell r="Q20" t="str">
            <v>Gas/No Booster</v>
          </cell>
          <cell r="R20">
            <v>0</v>
          </cell>
          <cell r="S20">
            <v>0</v>
          </cell>
        </row>
        <row r="21">
          <cell r="H21" t="str">
            <v>Semivertical Open, Self-Contained, Medium-temp</v>
          </cell>
          <cell r="I21">
            <v>162</v>
          </cell>
          <cell r="J21">
            <v>0</v>
          </cell>
          <cell r="N21" t="str">
            <v>Commercial dishwasher - ENERGY STAR® - Multiple tank conveyorHigh TempElectric/Electric</v>
          </cell>
          <cell r="O21" t="str">
            <v>Commercial dishwasher - ENERGY STAR® - Multiple tank conveyor</v>
          </cell>
          <cell r="P21" t="str">
            <v>High Temp</v>
          </cell>
          <cell r="Q21" t="str">
            <v>Electric/Electric</v>
          </cell>
          <cell r="R21">
            <v>27815</v>
          </cell>
          <cell r="S21">
            <v>3.6</v>
          </cell>
        </row>
        <row r="22">
          <cell r="H22" t="str">
            <v>Horizontal Open, Remote Condensing, Medium-temp</v>
          </cell>
          <cell r="I22">
            <v>42</v>
          </cell>
          <cell r="J22">
            <v>0</v>
          </cell>
          <cell r="N22" t="str">
            <v>Commercial dishwasher - ENERGY STAR® - Multiple tank conveyorHigh TempGas/Electric</v>
          </cell>
          <cell r="O22" t="str">
            <v>Commercial dishwasher - ENERGY STAR® - Multiple tank conveyor</v>
          </cell>
          <cell r="P22" t="str">
            <v>High Temp</v>
          </cell>
          <cell r="Q22" t="str">
            <v>Gas/Electric</v>
          </cell>
          <cell r="R22">
            <v>11378</v>
          </cell>
          <cell r="S22">
            <v>1.5</v>
          </cell>
        </row>
        <row r="23">
          <cell r="B23" t="str">
            <v>ACTU / HPTU Pump Savings</v>
          </cell>
          <cell r="C23" t="str">
            <v>kWh_clg</v>
          </cell>
          <cell r="D23" t="str">
            <v>kWh_htg</v>
          </cell>
          <cell r="E23" t="str">
            <v>kWh_total</v>
          </cell>
          <cell r="F23" t="str">
            <v>kW</v>
          </cell>
          <cell r="H23" t="str">
            <v>Horizontal Open, Remote Condensing, Low-temp</v>
          </cell>
          <cell r="I23">
            <v>94</v>
          </cell>
          <cell r="J23">
            <v>0</v>
          </cell>
          <cell r="N23" t="str">
            <v>Commercial dishwasher - ENERGY STAR® - Multiple tank conveyorHigh TempGas/Gas</v>
          </cell>
          <cell r="O23" t="str">
            <v>Commercial dishwasher - ENERGY STAR® - Multiple tank conveyor</v>
          </cell>
          <cell r="P23" t="str">
            <v>High Temp</v>
          </cell>
          <cell r="Q23" t="str">
            <v>Gas/Gas</v>
          </cell>
          <cell r="R23">
            <v>1986</v>
          </cell>
          <cell r="S23">
            <v>0.3</v>
          </cell>
        </row>
        <row r="24">
          <cell r="B24" t="str">
            <v>HVAC Tune Up - Commercial (A/C)</v>
          </cell>
          <cell r="C24" t="e">
            <v>#N/A</v>
          </cell>
          <cell r="D24"/>
          <cell r="E24" t="e">
            <v>#N/A</v>
          </cell>
          <cell r="F24" t="e">
            <v>#N/A</v>
          </cell>
          <cell r="H24" t="str">
            <v>Horizontal Open, Self-Contained, Medium-temp</v>
          </cell>
          <cell r="I24">
            <v>132</v>
          </cell>
          <cell r="J24">
            <v>0</v>
          </cell>
          <cell r="N24" t="str">
            <v>Commercial dishwasher - ENERGY STAR® - Multiple tank conveyorLow TempElectric/No Booster</v>
          </cell>
          <cell r="O24" t="str">
            <v>Commercial dishwasher - ENERGY STAR® - Multiple tank conveyor</v>
          </cell>
          <cell r="P24" t="str">
            <v>Low Temp</v>
          </cell>
          <cell r="Q24" t="str">
            <v>Electric/No Booster</v>
          </cell>
          <cell r="R24">
            <v>19112</v>
          </cell>
          <cell r="S24">
            <v>2.4</v>
          </cell>
        </row>
        <row r="25">
          <cell r="B25" t="str">
            <v>HVAC Tune Up - Commercial (Heat Pump)</v>
          </cell>
          <cell r="C25" t="e">
            <v>#N/A</v>
          </cell>
          <cell r="D25" t="e">
            <v>#N/A</v>
          </cell>
          <cell r="E25" t="e">
            <v>#N/A</v>
          </cell>
          <cell r="F25" t="e">
            <v>#N/A</v>
          </cell>
          <cell r="H25" t="str">
            <v>Horizontal Open, Self-Contained, Low-temp</v>
          </cell>
          <cell r="I25">
            <v>288</v>
          </cell>
          <cell r="J25">
            <v>0</v>
          </cell>
          <cell r="N25" t="str">
            <v>Commercial dishwasher - ENERGY STAR® - Multiple tank conveyorLow TempGas/No Booster</v>
          </cell>
          <cell r="O25" t="str">
            <v>Commercial dishwasher - ENERGY STAR® - Multiple tank conveyor</v>
          </cell>
          <cell r="P25" t="str">
            <v>Low Temp</v>
          </cell>
          <cell r="Q25" t="str">
            <v>Gas/No Booster</v>
          </cell>
          <cell r="R25">
            <v>0</v>
          </cell>
          <cell r="S25">
            <v>0</v>
          </cell>
        </row>
        <row r="27">
          <cell r="H27" t="str">
            <v>Night Cover Savings (Concat Name)</v>
          </cell>
          <cell r="I27" t="str">
            <v>Type</v>
          </cell>
          <cell r="J27" t="str">
            <v>Size</v>
          </cell>
          <cell r="K27" t="str">
            <v>kWh</v>
          </cell>
          <cell r="L27" t="str">
            <v>kW</v>
          </cell>
        </row>
        <row r="28">
          <cell r="H28" t="str">
            <v>Refrigerator0 - 15 cu. ft.</v>
          </cell>
          <cell r="I28" t="str">
            <v>Refrigerator</v>
          </cell>
          <cell r="J28" t="str">
            <v>0 - 15 cu. ft.</v>
          </cell>
          <cell r="K28">
            <v>290</v>
          </cell>
          <cell r="L28">
            <v>0.03</v>
          </cell>
          <cell r="N28" t="str">
            <v>Convection Oven Savings (Size)</v>
          </cell>
          <cell r="O28" t="str">
            <v>kWh</v>
          </cell>
          <cell r="P28" t="str">
            <v>kW</v>
          </cell>
        </row>
        <row r="29">
          <cell r="H29" t="str">
            <v>Refrigerator15 - 30 cu. ft</v>
          </cell>
          <cell r="I29" t="str">
            <v>Refrigerator</v>
          </cell>
          <cell r="J29" t="str">
            <v>15 - 30 cu. ft</v>
          </cell>
          <cell r="K29">
            <v>631</v>
          </cell>
          <cell r="L29">
            <v>7.0000000000000007E-2</v>
          </cell>
          <cell r="N29" t="str">
            <v>Half-Size</v>
          </cell>
          <cell r="O29">
            <v>2485</v>
          </cell>
          <cell r="P29">
            <v>0.47699999999999998</v>
          </cell>
        </row>
        <row r="30">
          <cell r="B30" t="str">
            <v>Prescriptive Measure</v>
          </cell>
          <cell r="C30" t="str">
            <v>kWh/unit</v>
          </cell>
          <cell r="D30" t="str">
            <v>kW/unit</v>
          </cell>
          <cell r="H30" t="str">
            <v>Refrigerator30 - 50 cu. ft.</v>
          </cell>
          <cell r="I30" t="str">
            <v>Refrigerator</v>
          </cell>
          <cell r="J30" t="str">
            <v>30 - 50 cu. ft.</v>
          </cell>
          <cell r="K30">
            <v>951</v>
          </cell>
          <cell r="L30">
            <v>0.11</v>
          </cell>
          <cell r="N30" t="str">
            <v>Full-Size</v>
          </cell>
          <cell r="O30">
            <v>2787</v>
          </cell>
          <cell r="P30">
            <v>0.53400000000000003</v>
          </cell>
        </row>
        <row r="31">
          <cell r="B31" t="str">
            <v>SELECT CHILLER MEASURE FROM DROPDOWN</v>
          </cell>
          <cell r="C31">
            <v>0</v>
          </cell>
          <cell r="D31">
            <v>0</v>
          </cell>
          <cell r="H31" t="str">
            <v>Refrigerator≥ 50 cu. ft.</v>
          </cell>
          <cell r="I31" t="str">
            <v>Refrigerator</v>
          </cell>
          <cell r="J31" t="str">
            <v>≥ 50 cu. ft.</v>
          </cell>
          <cell r="K31">
            <v>1250</v>
          </cell>
          <cell r="L31">
            <v>0.14000000000000001</v>
          </cell>
        </row>
        <row r="32">
          <cell r="B32" t="str">
            <v>Air Cooled Chiller &lt;150 Tons (min. eff. of 1.18 kW/ton full load and 0.76 kW/ton IPLV)</v>
          </cell>
          <cell r="C32">
            <v>18977.559190051194</v>
          </cell>
          <cell r="D32">
            <v>0.61600000000000055</v>
          </cell>
          <cell r="H32" t="str">
            <v>Freezer0 - 15 cu. ft.</v>
          </cell>
          <cell r="I32" t="str">
            <v>Freezer</v>
          </cell>
          <cell r="J32" t="str">
            <v>0 - 15 cu. ft.</v>
          </cell>
          <cell r="K32">
            <v>869</v>
          </cell>
          <cell r="L32">
            <v>0.1</v>
          </cell>
        </row>
        <row r="33">
          <cell r="B33" t="str">
            <v>Water Cooled Screw/Scroll Chiller &gt;=300 Tons (min. eff. of 0.57 kW/ton full load and 0.41 kW/ton IPLV)</v>
          </cell>
          <cell r="C33">
            <v>66270.841616051781</v>
          </cell>
          <cell r="D33">
            <v>4.6200000000000045</v>
          </cell>
          <cell r="H33" t="str">
            <v>Freezer15 - 30 cu. ft</v>
          </cell>
          <cell r="I33" t="str">
            <v>Freezer</v>
          </cell>
          <cell r="J33" t="str">
            <v>15 - 30 cu. ft</v>
          </cell>
          <cell r="K33">
            <v>869</v>
          </cell>
          <cell r="L33">
            <v>0.1</v>
          </cell>
          <cell r="N33" t="str">
            <v>Combination Oven Savings (Size)</v>
          </cell>
          <cell r="O33" t="str">
            <v>kWh</v>
          </cell>
          <cell r="P33" t="str">
            <v>kW</v>
          </cell>
        </row>
        <row r="34">
          <cell r="B34" t="str">
            <v>Water Cooled Screw/Scroll Chiller &gt;=150 Tons and &lt;300 Tons (min. eff. of 0.65 kW/ton full load and 0.44 kW/ton IPLV)</v>
          </cell>
          <cell r="C34">
            <v>41419.276010032379</v>
          </cell>
          <cell r="D34">
            <v>1.9250000000000018</v>
          </cell>
          <cell r="H34" t="str">
            <v>Freezer30 - 50 cu. ft.</v>
          </cell>
          <cell r="I34" t="str">
            <v>Freezer</v>
          </cell>
          <cell r="J34" t="str">
            <v>30 - 50 cu. ft.</v>
          </cell>
          <cell r="K34">
            <v>2593</v>
          </cell>
          <cell r="L34">
            <v>0.3</v>
          </cell>
          <cell r="N34" t="str">
            <v>Combination commercial oven &lt;15 Pan - ENERGY STAR®</v>
          </cell>
          <cell r="O34">
            <v>14397.5</v>
          </cell>
          <cell r="P34">
            <v>2.7850000000000001</v>
          </cell>
        </row>
        <row r="35">
          <cell r="B35" t="str">
            <v>Water Cooled Screw/Scroll Chiller &gt;= 75 and &lt;150 Tons (min. eff. of 0.71 kW/ton full load and 0.49 kW/ton IPLV)</v>
          </cell>
          <cell r="C35">
            <v>12049.243930191245</v>
          </cell>
          <cell r="D35">
            <v>0.77000000000000068</v>
          </cell>
          <cell r="H35" t="str">
            <v>Freezer≥ 50 cu. ft.</v>
          </cell>
          <cell r="I35" t="str">
            <v>Freezer</v>
          </cell>
          <cell r="J35" t="str">
            <v>≥ 50 cu. ft.</v>
          </cell>
          <cell r="K35">
            <v>4375</v>
          </cell>
          <cell r="L35">
            <v>0.5</v>
          </cell>
          <cell r="N35" t="str">
            <v>Combination commercial oven &gt;=15 Pan - ENERGY STAR®</v>
          </cell>
          <cell r="O35">
            <v>19220</v>
          </cell>
          <cell r="P35">
            <v>3.69</v>
          </cell>
        </row>
        <row r="36">
          <cell r="B36" t="str">
            <v>Water Cooled Screw/Scroll Chiller &lt;75 Tons (min. eff. of 0.74 kW/ton full load and 0.50 kW/ton IPLV)</v>
          </cell>
          <cell r="C36">
            <v>8283.8552020064726</v>
          </cell>
          <cell r="D36">
            <v>0.38500000000000034</v>
          </cell>
        </row>
        <row r="37">
          <cell r="B37" t="str">
            <v>Water Cooled Centrifugal &gt;=600 Tons (min. eff. of 0.55 kW/ton full load and 0.38 kW/ton IPLV)</v>
          </cell>
          <cell r="C37">
            <v>225923.32369108568</v>
          </cell>
          <cell r="D37">
            <v>7.7000000000000073</v>
          </cell>
          <cell r="H37" t="str">
            <v>Strip Curtain Savings (Concat Name)</v>
          </cell>
          <cell r="I37" t="str">
            <v>Case Description</v>
          </cell>
          <cell r="J37" t="str">
            <v>Pre-Existing Curtains</v>
          </cell>
          <cell r="K37" t="str">
            <v>kWh/sf</v>
          </cell>
          <cell r="L37" t="str">
            <v>kW/sf</v>
          </cell>
          <cell r="N37" t="str">
            <v>Steam Cooker (Size)</v>
          </cell>
          <cell r="O37" t="str">
            <v>kWh</v>
          </cell>
          <cell r="P37" t="str">
            <v>kW</v>
          </cell>
        </row>
        <row r="38">
          <cell r="B38" t="str">
            <v>Water Cooled Centrifugal &lt;300 Tons (min. eff. of 0.60 kW/ton full load and 0.40 kW/ton IPLV)</v>
          </cell>
          <cell r="C38">
            <v>75307.774563695231</v>
          </cell>
          <cell r="D38">
            <v>1.5400000000000014</v>
          </cell>
          <cell r="H38" t="str">
            <v>Supermarket – CoolerYes</v>
          </cell>
          <cell r="I38" t="str">
            <v>Supermarket – Cooler</v>
          </cell>
          <cell r="J38" t="str">
            <v>Yes</v>
          </cell>
          <cell r="K38">
            <v>37</v>
          </cell>
          <cell r="L38">
            <v>4.2199999999999998E-3</v>
          </cell>
          <cell r="N38" t="str">
            <v>3-Pan</v>
          </cell>
          <cell r="O38">
            <v>28214</v>
          </cell>
          <cell r="P38">
            <v>5.4</v>
          </cell>
        </row>
        <row r="39">
          <cell r="B39" t="str">
            <v>Water Cooled Centrifugal &gt;=300 and &lt;600 Tons (min. eff. of 0.55 kW/ton full load and 0.39 kW/ton IPLV)</v>
          </cell>
          <cell r="C39">
            <v>158146.32658375995</v>
          </cell>
          <cell r="D39">
            <v>3.8500000000000036</v>
          </cell>
          <cell r="H39" t="str">
            <v>Supermarket – CoolerNo</v>
          </cell>
          <cell r="I39" t="str">
            <v>Supermarket – Cooler</v>
          </cell>
          <cell r="J39" t="str">
            <v>No</v>
          </cell>
          <cell r="K39">
            <v>108</v>
          </cell>
          <cell r="L39">
            <v>1.23E-2</v>
          </cell>
          <cell r="N39" t="str">
            <v>4-Pan</v>
          </cell>
          <cell r="O39">
            <v>38081</v>
          </cell>
          <cell r="P39">
            <v>7.3</v>
          </cell>
        </row>
        <row r="40">
          <cell r="H40" t="str">
            <v>Supermarket – CoolerUnknown</v>
          </cell>
          <cell r="I40" t="str">
            <v>Supermarket – Cooler</v>
          </cell>
          <cell r="J40" t="str">
            <v>Unknown</v>
          </cell>
          <cell r="K40">
            <v>62</v>
          </cell>
          <cell r="L40">
            <v>7.0800000000000004E-3</v>
          </cell>
          <cell r="N40" t="str">
            <v>5-Pan</v>
          </cell>
          <cell r="O40">
            <v>47948</v>
          </cell>
          <cell r="P40">
            <v>9.1999999999999993</v>
          </cell>
        </row>
        <row r="41">
          <cell r="H41" t="str">
            <v>Supermarket – FreezerYes</v>
          </cell>
          <cell r="I41" t="str">
            <v>Supermarket – Freezer</v>
          </cell>
          <cell r="J41" t="str">
            <v>Yes</v>
          </cell>
          <cell r="K41">
            <v>61</v>
          </cell>
          <cell r="L41">
            <v>6.96E-3</v>
          </cell>
          <cell r="N41" t="str">
            <v>6-Pan</v>
          </cell>
          <cell r="O41">
            <v>57815</v>
          </cell>
          <cell r="P41">
            <v>11.1</v>
          </cell>
        </row>
        <row r="42">
          <cell r="B42" t="str">
            <v>ECM Motors (HVAC)</v>
          </cell>
          <cell r="C42">
            <v>355.79297454545502</v>
          </cell>
          <cell r="D42">
            <v>6.70158E-2</v>
          </cell>
          <cell r="H42" t="str">
            <v>Supermarket – FreezerNo</v>
          </cell>
          <cell r="I42" t="str">
            <v>Supermarket – Freezer</v>
          </cell>
          <cell r="J42" t="str">
            <v>No</v>
          </cell>
          <cell r="K42">
            <v>179</v>
          </cell>
          <cell r="L42">
            <v>3.9800000000000002E-2</v>
          </cell>
        </row>
        <row r="43">
          <cell r="H43" t="str">
            <v>Supermarket – FreezerUnknown</v>
          </cell>
          <cell r="I43" t="str">
            <v>Supermarket – Freezer</v>
          </cell>
          <cell r="J43" t="str">
            <v>Unknown</v>
          </cell>
          <cell r="K43">
            <v>119</v>
          </cell>
          <cell r="L43">
            <v>1.358E-2</v>
          </cell>
          <cell r="U43" t="str">
            <v>PRSV Savings (Building Type)</v>
          </cell>
          <cell r="V43" t="str">
            <v>kWh</v>
          </cell>
          <cell r="W43" t="str">
            <v>kW</v>
          </cell>
        </row>
        <row r="44">
          <cell r="B44" t="str">
            <v>GREM Savings</v>
          </cell>
          <cell r="C44" t="str">
            <v>kWh</v>
          </cell>
          <cell r="D44" t="str">
            <v>kW</v>
          </cell>
          <cell r="H44" t="str">
            <v>Convenience Store - CoolerYes</v>
          </cell>
          <cell r="I44" t="str">
            <v>Convenience Store - Cooler</v>
          </cell>
          <cell r="J44" t="str">
            <v>Yes</v>
          </cell>
          <cell r="K44">
            <v>5</v>
          </cell>
          <cell r="L44">
            <v>5.6999999999999998E-4</v>
          </cell>
          <cell r="N44" t="str">
            <v>Concat Name</v>
          </cell>
          <cell r="O44" t="str">
            <v>kWh</v>
          </cell>
          <cell r="P44" t="str">
            <v>kW</v>
          </cell>
          <cell r="U44" t="str">
            <v>Fast Food</v>
          </cell>
          <cell r="V44">
            <v>4327.3637224977647</v>
          </cell>
          <cell r="W44">
            <v>0.59278955102709108</v>
          </cell>
        </row>
        <row r="45">
          <cell r="B45" t="str">
            <v xml:space="preserve">Guest Room Energy Management Controls </v>
          </cell>
          <cell r="C45">
            <v>590.20000000000005</v>
          </cell>
          <cell r="D45">
            <v>0.248</v>
          </cell>
          <cell r="H45" t="str">
            <v>Convenience Store - CoolerNo</v>
          </cell>
          <cell r="I45" t="str">
            <v>Convenience Store - Cooler</v>
          </cell>
          <cell r="J45" t="str">
            <v>No</v>
          </cell>
          <cell r="K45">
            <v>20</v>
          </cell>
          <cell r="L45">
            <v>2.2799999999999999E-3</v>
          </cell>
          <cell r="N45" t="str">
            <v>Ice Making Heads, Batch Type</v>
          </cell>
          <cell r="O45">
            <v>223</v>
          </cell>
          <cell r="P45">
            <v>0.03</v>
          </cell>
          <cell r="U45" t="str">
            <v>Casual Dining</v>
          </cell>
          <cell r="V45">
            <v>10097.18201916145</v>
          </cell>
          <cell r="W45">
            <v>1.10654049525057</v>
          </cell>
        </row>
        <row r="46">
          <cell r="H46" t="str">
            <v>Convenience Store - CoolerUnknown</v>
          </cell>
          <cell r="I46" t="str">
            <v>Convenience Store - Cooler</v>
          </cell>
          <cell r="J46" t="str">
            <v>Unknown</v>
          </cell>
          <cell r="K46">
            <v>11</v>
          </cell>
          <cell r="L46">
            <v>1.2600000000000001E-3</v>
          </cell>
          <cell r="N46" t="str">
            <v>Ice Making Heads, Continuous Type</v>
          </cell>
          <cell r="O46">
            <v>792</v>
          </cell>
          <cell r="P46">
            <v>0.09</v>
          </cell>
          <cell r="U46" t="str">
            <v>Institutional</v>
          </cell>
          <cell r="V46">
            <v>15159.604784932806</v>
          </cell>
          <cell r="W46">
            <v>1.6598107428758551</v>
          </cell>
        </row>
        <row r="47">
          <cell r="B47" t="str">
            <v>Duct Sealing Savings</v>
          </cell>
          <cell r="C47" t="str">
            <v>kWh/CFM</v>
          </cell>
          <cell r="D47" t="str">
            <v>kW/CFM</v>
          </cell>
          <cell r="H47" t="str">
            <v>Convenience Store - FreezerYes</v>
          </cell>
          <cell r="I47" t="str">
            <v>Convenience Store - Freezer</v>
          </cell>
          <cell r="J47" t="str">
            <v>Yes</v>
          </cell>
          <cell r="K47">
            <v>8</v>
          </cell>
          <cell r="L47">
            <v>9.1E-4</v>
          </cell>
          <cell r="N47" t="str">
            <v>Remote Condensing Units, Batch Type</v>
          </cell>
          <cell r="O47">
            <v>921</v>
          </cell>
          <cell r="P47">
            <v>0.11</v>
          </cell>
          <cell r="U47" t="str">
            <v>Dormitory</v>
          </cell>
          <cell r="V47">
            <v>20194.364038322899</v>
          </cell>
          <cell r="W47">
            <v>2.2130809905011399</v>
          </cell>
        </row>
        <row r="48">
          <cell r="B48" t="str">
            <v>Duct Sealing</v>
          </cell>
          <cell r="C48">
            <v>4.4000000000000004</v>
          </cell>
          <cell r="D48">
            <v>3.0000000000000001E-3</v>
          </cell>
          <cell r="H48" t="str">
            <v>Convenience Store - FreezerNo</v>
          </cell>
          <cell r="I48" t="str">
            <v>Convenience Store - Freezer</v>
          </cell>
          <cell r="J48" t="str">
            <v>No</v>
          </cell>
          <cell r="K48">
            <v>27</v>
          </cell>
          <cell r="L48">
            <v>3.0799999999999998E-3</v>
          </cell>
          <cell r="N48" t="str">
            <v>Remote Condensing Units, Continuous Type</v>
          </cell>
          <cell r="O48">
            <v>1037</v>
          </cell>
          <cell r="P48">
            <v>0.12</v>
          </cell>
          <cell r="U48" t="str">
            <v>K-12 School</v>
          </cell>
          <cell r="V48">
            <v>10097.18201916145</v>
          </cell>
          <cell r="W48">
            <v>1.3831756190632123</v>
          </cell>
        </row>
        <row r="49">
          <cell r="H49" t="str">
            <v>Convenience Store - FreezerUnknown</v>
          </cell>
          <cell r="I49" t="str">
            <v>Convenience Store - Freezer</v>
          </cell>
          <cell r="J49" t="str">
            <v>Unknown</v>
          </cell>
          <cell r="K49">
            <v>17</v>
          </cell>
          <cell r="L49">
            <v>1.9400000000000001E-3</v>
          </cell>
          <cell r="N49" t="str">
            <v>Self-Contained Units, Batch Type</v>
          </cell>
          <cell r="O49">
            <v>303</v>
          </cell>
          <cell r="P49">
            <v>0.03</v>
          </cell>
          <cell r="U49" t="str">
            <v>Other</v>
          </cell>
          <cell r="V49">
            <v>12334.764977771711</v>
          </cell>
          <cell r="W49">
            <v>1.4938296685882693</v>
          </cell>
        </row>
        <row r="50">
          <cell r="H50" t="str">
            <v>Restaurant - CoolerYes</v>
          </cell>
          <cell r="I50" t="str">
            <v>Restaurant - Cooler</v>
          </cell>
          <cell r="J50" t="str">
            <v>Yes</v>
          </cell>
          <cell r="K50">
            <v>8</v>
          </cell>
          <cell r="L50">
            <v>9.1E-4</v>
          </cell>
          <cell r="N50" t="str">
            <v>Self-Contained Units, Continuous Type</v>
          </cell>
          <cell r="O50">
            <v>118</v>
          </cell>
          <cell r="P50">
            <v>0.01</v>
          </cell>
        </row>
        <row r="51">
          <cell r="H51" t="str">
            <v>Restaurant – CoolerNo</v>
          </cell>
          <cell r="I51" t="str">
            <v>Restaurant – Cooler</v>
          </cell>
          <cell r="J51" t="str">
            <v>No</v>
          </cell>
          <cell r="K51">
            <v>30</v>
          </cell>
          <cell r="L51">
            <v>3.4199999999999999E-3</v>
          </cell>
        </row>
        <row r="52">
          <cell r="H52" t="str">
            <v>Restaurant – CoolerUnknown</v>
          </cell>
          <cell r="I52" t="str">
            <v>Restaurant – Cooler</v>
          </cell>
          <cell r="J52" t="str">
            <v>Unknown</v>
          </cell>
          <cell r="K52">
            <v>18</v>
          </cell>
          <cell r="L52">
            <v>2.0500000000000002E-3</v>
          </cell>
        </row>
        <row r="53">
          <cell r="H53" t="str">
            <v>Restaurant - FreezerYes</v>
          </cell>
          <cell r="I53" t="str">
            <v>Restaurant - Freezer</v>
          </cell>
          <cell r="J53" t="str">
            <v>Yes</v>
          </cell>
          <cell r="K53">
            <v>34</v>
          </cell>
          <cell r="L53">
            <v>3.8800000000000002E-3</v>
          </cell>
        </row>
        <row r="54">
          <cell r="H54" t="str">
            <v>Restaurant - FreezerNo</v>
          </cell>
          <cell r="I54" t="str">
            <v>Restaurant - Freezer</v>
          </cell>
          <cell r="J54" t="str">
            <v>No</v>
          </cell>
          <cell r="K54">
            <v>119</v>
          </cell>
          <cell r="L54">
            <v>1.358E-2</v>
          </cell>
        </row>
        <row r="55">
          <cell r="H55" t="str">
            <v>Restaurant - FreezerUnknown</v>
          </cell>
          <cell r="I55" t="str">
            <v>Restaurant - Freezer</v>
          </cell>
          <cell r="J55" t="str">
            <v>Unknown</v>
          </cell>
          <cell r="K55">
            <v>81</v>
          </cell>
          <cell r="L55">
            <v>9.2499999999999995E-3</v>
          </cell>
        </row>
        <row r="56">
          <cell r="H56" t="str">
            <v>Refrigerated WarehouseYes</v>
          </cell>
          <cell r="I56" t="str">
            <v>Refrigerated Warehouse</v>
          </cell>
          <cell r="J56" t="str">
            <v>Yes</v>
          </cell>
          <cell r="K56">
            <v>254</v>
          </cell>
          <cell r="L56">
            <v>2.9000000000000001E-2</v>
          </cell>
        </row>
        <row r="57">
          <cell r="H57" t="str">
            <v>Refrigerated WarehouseNo</v>
          </cell>
          <cell r="I57" t="str">
            <v>Refrigerated Warehouse</v>
          </cell>
          <cell r="J57" t="str">
            <v>No</v>
          </cell>
          <cell r="K57">
            <v>729</v>
          </cell>
          <cell r="L57">
            <v>8.3220000000000002E-2</v>
          </cell>
        </row>
        <row r="58">
          <cell r="H58" t="str">
            <v>Refrigerated WarehouseUnknown</v>
          </cell>
          <cell r="I58" t="str">
            <v>Refrigerated Warehouse</v>
          </cell>
          <cell r="J58" t="str">
            <v>Unknown</v>
          </cell>
          <cell r="K58">
            <v>287</v>
          </cell>
          <cell r="L58">
            <v>3.2759999999999997E-2</v>
          </cell>
        </row>
        <row r="78">
          <cell r="U78" t="str">
            <v>Showerhead Savings (Building Type)</v>
          </cell>
          <cell r="V78" t="str">
            <v>kWh</v>
          </cell>
          <cell r="W78" t="str">
            <v>kW</v>
          </cell>
        </row>
        <row r="79">
          <cell r="U79" t="str">
            <v>Hospital</v>
          </cell>
          <cell r="V79">
            <v>495.33452376927249</v>
          </cell>
          <cell r="W79">
            <v>4.071242661117308E-2</v>
          </cell>
        </row>
        <row r="80">
          <cell r="U80" t="str">
            <v>Lodging</v>
          </cell>
          <cell r="V80">
            <v>695.69455585572007</v>
          </cell>
          <cell r="W80">
            <v>3.8120249635929866E-2</v>
          </cell>
        </row>
        <row r="81">
          <cell r="U81" t="str">
            <v>Commercial</v>
          </cell>
          <cell r="V81">
            <v>369.76642146851964</v>
          </cell>
          <cell r="W81">
            <v>0.11832525486992629</v>
          </cell>
        </row>
        <row r="82">
          <cell r="U82" t="str">
            <v>Fitness Center</v>
          </cell>
          <cell r="V82">
            <v>11097.719555010446</v>
          </cell>
          <cell r="W82">
            <v>2.4323768887694128</v>
          </cell>
        </row>
        <row r="83">
          <cell r="U83" t="str">
            <v>School</v>
          </cell>
          <cell r="V83">
            <v>402.54983615541937</v>
          </cell>
          <cell r="W83">
            <v>0.10063745903885485</v>
          </cell>
        </row>
        <row r="84">
          <cell r="U84" t="str">
            <v>Other</v>
          </cell>
          <cell r="V84">
            <v>369.76642146851964</v>
          </cell>
          <cell r="W84">
            <v>0.11832525486992629</v>
          </cell>
        </row>
      </sheetData>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
      <sheetName val="Summary"/>
      <sheetName val="Review"/>
      <sheetName val="EnSmPC"/>
      <sheetName val="Tables"/>
      <sheetName val="Library"/>
      <sheetName val="Analysis"/>
      <sheetName val="WE"/>
      <sheetName val="OE"/>
      <sheetName val="EQ"/>
      <sheetName val="TAC"/>
      <sheetName val="PA"/>
      <sheetName val="AS"/>
      <sheetName val="DummyCopy"/>
      <sheetName val="PML"/>
      <sheetName val="PL"/>
      <sheetName val="PLC"/>
      <sheetName val="PH"/>
      <sheetName val="PR"/>
      <sheetName val="PCK"/>
      <sheetName val="PM"/>
      <sheetName val="CLI"/>
      <sheetName val="FT"/>
      <sheetName val="CH"/>
      <sheetName val="CLPost"/>
      <sheetName val="CLPre"/>
      <sheetName val="CN"/>
      <sheetName val="CK"/>
      <sheetName val="SR"/>
      <sheetName val="PC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Distribution View" id="{AB6DCCBF-3DF4-4B0A-BF49-28D813B48435}"/>
</namedSheetViews>
</file>

<file path=xl/persons/person.xml><?xml version="1.0" encoding="utf-8"?>
<personList xmlns="http://schemas.microsoft.com/office/spreadsheetml/2018/threadedcomments" xmlns:x="http://schemas.openxmlformats.org/spreadsheetml/2006/main">
  <person displayName="Kurtz, Spencer" id="{A3E89FC8-9D46-4C6C-B92E-ADD4BB5C8EEA}" userId="S::spencer.kurtz@aptim.com::fe2f2be9-1164-485f-94b6-80f4257875eb"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86DCFFF-2D47-473A-9BC9-BAB0551BF868}" name="Table_PrescriptLights_Input" displayName="Table_PrescriptLights_Input" ref="B4:T54" totalsRowShown="0" headerRowDxfId="239" headerRowBorderDxfId="238" tableBorderDxfId="237" totalsRowBorderDxfId="236" headerRowCellStyle="Table Top 1" dataCellStyle="Locked Cell">
  <tableColumns count="19">
    <tableColumn id="1" xr3:uid="{8F9C875C-9563-4ABB-B625-09C157533782}" name="Line Ref. No." dataDxfId="235" dataCellStyle="Locked Cell"/>
    <tableColumn id="2" xr3:uid="{46C6C011-1316-4CC5-A76D-C108F8C6CA48}" name="Measure Number" dataDxfId="234" dataCellStyle="Locked Cell">
      <calculatedColumnFormula>IFERROR(INDEX(Table_Prescript_Meas[Measure Number], MATCH(E5, Table_Prescript_Meas[Measure Description], 0)), "")</calculatedColumnFormula>
    </tableColumn>
    <tableColumn id="3" xr3:uid="{B3CC9771-7C6F-449B-85D9-1ECC10D7772F}" name="Location / Measure Notes" dataDxfId="233" dataCellStyle="Locked Cell"/>
    <tableColumn id="4" xr3:uid="{81D64D76-AD10-4279-8BB9-C983A5F9AFD2}" name="HVAC Measure" dataDxfId="232" dataCellStyle="Input General"/>
    <tableColumn id="5" xr3:uid="{4C67F5B5-106B-4EE5-80F4-0928E678A73D}" name="Unit of Measure" dataDxfId="231" dataCellStyle="Locked Cell">
      <calculatedColumnFormula>IFERROR(INDEX(Table_Prescript_Meas[Units], MATCH(Table_PrescriptLights_Input[[#This Row],[Measure Number]], Table_Prescript_Meas[Measure Number], 0)), "")</calculatedColumnFormula>
    </tableColumn>
    <tableColumn id="9" xr3:uid="{1C657E22-9C15-4CE8-82E7-5398C82E25D2}" name="Number of Units" dataDxfId="230" dataCellStyle="Input General"/>
    <tableColumn id="8" xr3:uid="{1F1CA8C4-3BDE-4AC5-BAA5-4B9E0FEE46DB}" name="EER" dataDxfId="229" dataCellStyle="Input General"/>
    <tableColumn id="7" xr3:uid="{7FB1A9D2-0768-42EE-8DA6-A7C20C689834}" name="IEER/SEER" dataDxfId="228" dataCellStyle="Input General"/>
    <tableColumn id="6" xr3:uid="{AF5137A2-3546-4378-82AE-0C85FBDAF122}" name="HSPF" dataDxfId="227" dataCellStyle="Input General"/>
    <tableColumn id="14" xr3:uid="{E3C62EC6-E0E5-44D8-8322-4915701CD4C7}" name="Total Equipment Cost" dataDxfId="226" dataCellStyle="Input General"/>
    <tableColumn id="15" xr3:uid="{73391BD7-BA9B-4655-8D59-8036683B6997}" name="Total Labor Cost" dataDxfId="225" dataCellStyle="Input General"/>
    <tableColumn id="16" xr3:uid="{75D6130F-A3AD-4B6C-8D4A-A9BF89230E2D}" name="Per-Unit Incentive" dataDxfId="224" dataCellStyle="Locked Cell">
      <calculatedColumnFormula>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calculatedColumnFormula>
    </tableColumn>
    <tableColumn id="17" xr3:uid="{10CA3C0B-F6F6-4CD9-BAFE-66EF99651F2B}" name="Estimated Incentive" dataDxfId="223" dataCellStyle="Locked Cell">
      <calculatedColumnFormula>IFERROR(Table_PrescriptLights_Input[[#This Row],[Per-Unit Incentive]]*Table_PrescriptLights_Input[[#This Row],[Number of Units]],"")</calculatedColumnFormula>
    </tableColumn>
    <tableColumn id="18" xr3:uid="{242BB73F-FF6A-4795-8760-4BF5E54052DF}" name="Energy Savings (kWh)" dataDxfId="222" dataCellStyle="Locked Cell">
      <calculatedColumnFormula>IF(OR(Table_PrescriptLights_Input[[#This Row],[HVAC Measure]]=References!$G$4,Table_PrescriptLights_Input[[#This Row],[HVAC Measure]]=References!$G$5),'HVAC Calcs'!$H3,IFERROR(Table_PrescriptLights_Input[[#This Row],[Number of Units]]*INDEX(Table_Prescript_Meas[Deemed kWh Savings], MATCH(Table_PrescriptLights_Input[[#This Row],[Measure Number]], Table_Prescript_Meas[Measure Number], 0)),"" ))</calculatedColumnFormula>
    </tableColumn>
    <tableColumn id="20" xr3:uid="{1D47EF14-5FDD-46D6-BD70-A783441979ED}" name="Demand Reduction (kW)" dataDxfId="221" dataCellStyle="Locked Cell">
      <calculatedColumnFormula>IF(OR(Table_PrescriptLights_Input[[#This Row],[HVAC Measure]]=References!$G$4,Table_PrescriptLights_Input[[#This Row],[HVAC Measure]]=References!$G$5),'HVAC Calcs'!$I3,IFERROR(Table_PrescriptLights_Input[[#This Row],[Number of Units]]*INDEX(Table_Prescript_Meas[Deemed kW Savings], MATCH(Table_PrescriptLights_Input[[#This Row],[Measure Number]], Table_Prescript_Meas[Measure Number], 0)),"" ))</calculatedColumnFormula>
    </tableColumn>
    <tableColumn id="19" xr3:uid="{9353DCEE-B0B9-4D5E-99AD-C689A8C09023}" name="Cost Savings" dataDxfId="220" dataCellStyle="Locked Cell">
      <calculatedColumnFormula>IFERROR(Table_PrescriptLights_Input[[#This Row],[Energy Savings (kWh)]]*Input_AvgkWhRate, "")</calculatedColumnFormula>
    </tableColumn>
    <tableColumn id="25" xr3:uid="{F3721235-2AC1-4A24-BEAB-C067BFB49151}" name="Gross Measure Cost" dataDxfId="219" dataCellStyle="Locked Cell">
      <calculatedColumnFormula>IF(Table_PrescriptLights_Input[[#This Row],[HVAC Measure]]="", "",Table_PrescriptLights_Input[[#This Row],[Total Equipment Cost]]+Table_PrescriptLights_Input[[#This Row],[Total Labor Cost]])</calculatedColumnFormula>
    </tableColumn>
    <tableColumn id="21" xr3:uid="{61B34AB5-3923-452A-A360-BEE9FD62F90C}" name="Net Measure Cost" dataDxfId="218" dataCellStyle="Locked Cell">
      <calculatedColumnFormula>IFERROR(Table_PrescriptLights_Input[[#This Row],[Gross Measure Cost]]-Table_PrescriptLights_Input[[#This Row],[Estimated Incentive]], "")</calculatedColumnFormula>
    </tableColumn>
    <tableColumn id="22" xr3:uid="{72C4AABA-BB74-40F5-B832-4F50AEC6866D}" name="Simple Payback (Years)" dataDxfId="217" dataCellStyle="Locked Cell">
      <calculatedColumnFormula>IFERROR($S5/$Q5,"")</calculatedColumnFormula>
    </tableColumn>
  </tableColumns>
  <tableStyleInfo name="Lookup Tabl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E796AFA-733C-434F-BDDC-2899ECA53AB7}" name="Table_Prescript_Meas" displayName="Table_Prescript_Meas" ref="D3:M98" totalsRowShown="0">
  <autoFilter ref="D3:M98" xr:uid="{1E796AFA-733C-434F-BDDC-2899ECA53AB7}"/>
  <sortState xmlns:xlrd2="http://schemas.microsoft.com/office/spreadsheetml/2017/richdata2" ref="D4:K67">
    <sortCondition ref="D3:D67"/>
  </sortState>
  <tableColumns count="10">
    <tableColumn id="13" xr3:uid="{012E9E51-5028-4922-9691-1FBAD313D544}" name="Sort Order"/>
    <tableColumn id="7" xr3:uid="{AB63D968-5021-493B-BE1F-3A64316ACC31}" name="Type" dataDxfId="58"/>
    <tableColumn id="5" xr3:uid="{F18435E4-A28A-404F-9592-218A633520A0}" name="Measure Number" dataDxfId="57"/>
    <tableColumn id="1" xr3:uid="{A3E2A2E2-AD9F-4EDF-8AD1-B97F6A2E727B}" name="Measure Description"/>
    <tableColumn id="2" xr3:uid="{62C320E2-6C47-4072-836B-0FA25E2EA64A}" name="Incentive - SC" dataDxfId="56"/>
    <tableColumn id="3" xr3:uid="{9829818C-AAD4-47CD-862A-5F923ABB1CAC}" name="Incentive - LC" dataDxfId="55"/>
    <tableColumn id="4" xr3:uid="{B3C7B82F-2C2A-4B14-952B-B59A9EAADE36}" name="Units"/>
    <tableColumn id="10" xr3:uid="{C8C6E27F-E414-402B-93BF-418D93F7AE06}" name="Deemed kWh Savings"/>
    <tableColumn id="8" xr3:uid="{3641EB83-A3B7-48F3-85CD-C934D13930A5}" name="Deemed kW Savings"/>
    <tableColumn id="6" xr3:uid="{38E6EACF-9D92-4464-93CB-A4109D911BE6}" name="Hybrid Lookup"/>
  </tableColumns>
  <tableStyleInfo name="Lookup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3F43150-BB1D-49F2-B060-6A5BF0371595}" name="Table_Programs_Rates" displayName="Table_Programs_Rates" ref="W3:X5" totalsRowShown="0">
  <autoFilter ref="W3:X5" xr:uid="{13F43150-BB1D-49F2-B060-6A5BF0371595}"/>
  <tableColumns count="2">
    <tableColumn id="1" xr3:uid="{3BF8EA89-AC12-46F5-99CC-41C83E731F21}" name="List_Programs" dataDxfId="54"/>
    <tableColumn id="2" xr3:uid="{488C031A-DF45-4211-A4B9-CE139C7ED760}" name="Custom Incentive Rate" dataDxfId="53"/>
  </tableColumns>
  <tableStyleInfo name="Lookup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CBA98990-6055-4435-BE62-36059C88FFDB}" name="Table_WinFilm_Savings" displayName="Table_WinFilm_Savings" ref="P3:U12" totalsRowShown="0" headerRowDxfId="52">
  <autoFilter ref="P3:U12" xr:uid="{CBA98990-6055-4435-BE62-36059C88FFDB}"/>
  <tableColumns count="6">
    <tableColumn id="1" xr3:uid="{5A968875-7C13-4230-B364-067046DEB1B9}" name="Measure No" dataDxfId="51">
      <calculatedColumnFormula>$F$40</calculatedColumnFormula>
    </tableColumn>
    <tableColumn id="2" xr3:uid="{8AEEAEE9-5AF0-4971-B641-8AC45F45BBBD}" name="HVAC System"/>
    <tableColumn id="3" xr3:uid="{E0D1F54F-4C1B-42BD-8056-8B2DC5B55E8D}" name="Cardinal Direction"/>
    <tableColumn id="4" xr3:uid="{D905EADD-608F-4E86-B5DC-CFF4B1957A70}" name="Lookup Detail" dataDxfId="50">
      <calculatedColumnFormula>_xlfn.CONCAT($AQ$4,Table_WinFilm_Savings[[#This Row],[Cardinal Direction]])</calculatedColumnFormula>
    </tableColumn>
    <tableColumn id="5" xr3:uid="{49C38D12-6A98-4B63-8AD3-2CF38ADAFCA1}" name="Deemed kWh Savings">
      <calculatedColumnFormula>K40</calculatedColumnFormula>
    </tableColumn>
    <tableColumn id="6" xr3:uid="{5F575E9B-8880-47C3-8351-7F40B4A82FDF}" name="Deemed kW Savings">
      <calculatedColumnFormula>L40</calculatedColumnFormula>
    </tableColumn>
  </tableColumns>
  <tableStyleInfo name="Lookup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8DC6C38-602F-46F6-8B25-C7BF32CC5375}" name="Table_EffWindow_Savings" displayName="Table_EffWindow_Savings" ref="P15:U23" totalsRowShown="0" headerRowDxfId="49">
  <autoFilter ref="P15:U23" xr:uid="{28DC6C38-602F-46F6-8B25-C7BF32CC5375}"/>
  <tableColumns count="6">
    <tableColumn id="1" xr3:uid="{5E3AE982-9399-470B-AA62-E400260F541F}" name="Measure No" dataDxfId="48"/>
    <tableColumn id="2" xr3:uid="{21D644E8-B128-448B-9DD5-14FA088B6DF0}" name="HVAC System"/>
    <tableColumn id="3" xr3:uid="{32C8D3B7-EF56-4A27-BE46-05F2A5F5889F}" name="Cardinal Direction"/>
    <tableColumn id="4" xr3:uid="{E5338DFC-4F5B-42EC-A523-38B2C9F8F435}" name="Lookup Detail" dataDxfId="47"/>
    <tableColumn id="5" xr3:uid="{3743021F-C34C-4B95-89ED-A4974FF9D7CA}" name="Deemed kWh Savings"/>
    <tableColumn id="6" xr3:uid="{F67A21E0-ED32-4E83-8930-67F54AFE7E3C}" name="Deemed kW Savings"/>
  </tableColumns>
  <tableStyleInfo name="Lookup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563531E-FBF8-4AB3-A38F-7060C6F74F42}" name="Table_Measure_Caps" displayName="Table_Measure_Caps" ref="A2:J9" totalsRowCount="1" headerRowDxfId="46">
  <autoFilter ref="A2:J8" xr:uid="{A563531E-FBF8-4AB3-A38F-7060C6F74F42}"/>
  <tableColumns count="10">
    <tableColumn id="1" xr3:uid="{2FC0691E-AA41-4B72-B587-A8266560EB57}" name="Worksheet" totalsRowLabel="Total"/>
    <tableColumn id="10" xr3:uid="{A9369F91-9D6F-4877-91DA-479A193A41D3}" name="Measure Type" dataDxfId="45">
      <calculatedColumnFormula>Summary!B30</calculatedColumnFormula>
    </tableColumn>
    <tableColumn id="2" xr3:uid="{D83E28AC-8A76-4C16-B98B-2F373B5D0392}" name="Estimated Raw Incentive Total" totalsRowFunction="sum" dataDxfId="44" totalsRowDxfId="43"/>
    <tableColumn id="3" xr3:uid="{A6A92779-0E26-4488-9339-91277CD00D3C}" name="Energy Savings Total (kWh)" totalsRowFunction="sum" dataDxfId="42" totalsRowDxfId="41"/>
    <tableColumn id="4" xr3:uid="{A75B0FC7-F4C9-4E23-905D-A7F086D7E388}" name="Demand Reduction Total (kW)" totalsRowFunction="sum" dataDxfId="40" totalsRowDxfId="39"/>
    <tableColumn id="5" xr3:uid="{F9FA9204-4436-47C3-AA70-EC693EF4524F}" name="Cost Savings Total" totalsRowFunction="sum" dataDxfId="38" totalsRowDxfId="37"/>
    <tableColumn id="6" xr3:uid="{A131607F-447F-4B40-BE76-6650AAE820EE}" name="Gross Measure Cost Total" totalsRowFunction="sum" dataDxfId="36" totalsRowDxfId="35"/>
    <tableColumn id="7" xr3:uid="{0C6C6173-2706-4EAD-B4A7-49D90713FBE0}" name="Net Measure Cost Total" totalsRowFunction="sum" dataDxfId="34" totalsRowDxfId="33"/>
    <tableColumn id="8" xr3:uid="{3572CC4A-960F-4F3C-B657-B59E0880F64C}" name="Raw ItoC Ratio" totalsRowFunction="custom" dataDxfId="32" totalsRowDxfId="31" dataCellStyle="Percent">
      <calculatedColumnFormula>Table_Measure_Caps[[#This Row],[Estimated Raw Incentive Total]]/Table_Measure_Caps[[#This Row],[Gross Measure Cost Total]]</calculatedColumnFormula>
      <totalsRowFormula>Table_Measure_Caps[[#Totals],[Estimated Raw Incentive Total]]/Table_Measure_Caps[[#Totals],[Gross Measure Cost Total]]</totalsRowFormula>
    </tableColumn>
    <tableColumn id="9" xr3:uid="{B184E87D-28C0-4282-AD79-16BC9E7ED8DB}" name="Capped Incentive" totalsRowFunction="sum" dataDxfId="30" totalsRowDxfId="29">
      <calculatedColumnFormula>Table_Measure_Caps[[#This Row],[Estimated Raw Incentive Total]]*MIN(Table_Measure_Caps[[#Totals],[Estimated Raw Incentive Total]], Table_Measure_Caps[[#Totals],[Gross Measure Cost Total]], Value_Project_CAP)/Table_Measure_Caps[[#Totals],[Estimated Raw Incentive Total]]</calculatedColumnFormula>
    </tableColumn>
  </tableColumns>
  <tableStyleInfo name="Lookup Tabl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38FEFB1C-75A0-4708-8542-C9EFD91E1D56}" name="Table_Bonus_Caps" displayName="Table_Bonus_Caps" ref="L2:O3" totalsRowShown="0">
  <autoFilter ref="L2:O3" xr:uid="{38FEFB1C-75A0-4708-8542-C9EFD91E1D56}"/>
  <tableColumns count="4">
    <tableColumn id="1" xr3:uid="{6D6B2771-B606-4F00-9DD9-22B5477D9AF6}" name="Bonus Rate" dataDxfId="28"/>
    <tableColumn id="2" xr3:uid="{C33A9D64-1008-475E-A872-2D8F666A9B33}" name="Raw Incentive Total" dataDxfId="27"/>
    <tableColumn id="3" xr3:uid="{B530129D-6CA1-490C-A4CC-5B847BFF5C7F}" name="Uncapped Bonus" dataDxfId="26"/>
    <tableColumn id="4" xr3:uid="{84BE2AB8-EAE8-4601-B451-E59BE06594F1}" name="Final Bonus" dataDxfId="25"/>
  </tableColumns>
  <tableStyleInfo name="Lookup Tabl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B59AF07-6C3E-4916-BF28-FE5F8675061D}" name="Table_Contacts" displayName="Table_Contacts" ref="A3:R8" totalsRowShown="0">
  <autoFilter ref="A3:R8" xr:uid="{9B59AF07-6C3E-4916-BF28-FE5F8675061D}"/>
  <tableColumns count="18">
    <tableColumn id="1" xr3:uid="{0AD828B3-B818-42BE-B582-D1A564AF04EC}" name="Entity" dataDxfId="24"/>
    <tableColumn id="2" xr3:uid="{B3E0AB1E-3696-46A2-AAF0-DF096D5BA61B}" name="Business Name"/>
    <tableColumn id="3" xr3:uid="{CCCDE659-D2D4-4D6C-A6A6-EEF747F692CB}" name="Contact Name"/>
    <tableColumn id="4" xr3:uid="{3790D546-CB25-4CB4-9C72-19426A1C8017}" name="Street"/>
    <tableColumn id="5" xr3:uid="{BF512088-76E8-4B2D-9273-DE6DEF8D4456}" name="City"/>
    <tableColumn id="6" xr3:uid="{D09BB5C1-08E9-4D11-9D9B-899BEF01F28A}" name="State"/>
    <tableColumn id="7" xr3:uid="{0155B42F-8311-447A-B9BD-D98CDD372347}" name="Zip"/>
    <tableColumn id="8" xr3:uid="{6609A3FB-EFC0-4142-ABA7-782EDD5C64D2}" name="Phone"/>
    <tableColumn id="9" xr3:uid="{74C926AD-BD78-425D-8A7F-9C69757885C3}" name="Email"/>
    <tableColumn id="10" xr3:uid="{480D5B77-BF79-49FA-BE6C-91D3D2D42717}" name="Classification"/>
    <tableColumn id="11" xr3:uid="{5A96515C-D517-4DC7-A490-898B012E235E}" name="PFI?"/>
    <tableColumn id="12" xr3:uid="{0576638A-AF03-45DF-9E48-8E01827CF164}" name="DBE?"/>
    <tableColumn id="13" xr3:uid="{D23DB36B-EDA9-4803-828A-455192F4F856}" name="Registered TA?"/>
    <tableColumn id="14" xr3:uid="{1B2A8FAA-F170-4AE1-8084-6BA2FE463294}" name="Project Role"/>
    <tableColumn id="15" xr3:uid="{AF3F8029-43C9-4724-B855-B507891B3611}" name="Attention To" dataDxfId="23">
      <calculatedColumnFormula>Application!F29</calculatedColumnFormula>
    </tableColumn>
    <tableColumn id="16" xr3:uid="{7CA4F0D1-7754-471C-8DEB-CAEB6649B745}" name="Check Payable To" dataDxfId="22">
      <calculatedColumnFormula>Application!F30</calculatedColumnFormula>
    </tableColumn>
    <tableColumn id="17" xr3:uid="{772C63A5-044F-47D7-89C5-9E60AFFC552A}" name="Federal Tax ID Number" dataDxfId="21">
      <calculatedColumnFormula>Application!F31</calculatedColumnFormula>
    </tableColumn>
    <tableColumn id="18" xr3:uid="{F71E6A60-E971-4C2E-96C9-6C8A1944A1FF}" name="Tax Entity" dataDxfId="20">
      <calculatedColumnFormula>Application!F32</calculatedColumnFormula>
    </tableColumn>
  </tableColumns>
  <tableStyleInfo name="Lookup Tabl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ECA0D8E-39DB-439E-8DE5-5370072D2993}" name="Table18" displayName="Table18" ref="A1:M212" totalsRowShown="0" headerRowDxfId="17" dataDxfId="15" headerRowBorderDxfId="16" tableBorderDxfId="14" totalsRowBorderDxfId="13">
  <autoFilter ref="A1:M212" xr:uid="{AC1521BA-AD84-493D-AF13-55C57F1C1791}"/>
  <tableColumns count="13">
    <tableColumn id="1" xr3:uid="{3DB06459-5EF0-4845-87C6-71093DF4D059}" name="Tab" dataDxfId="12"/>
    <tableColumn id="2" xr3:uid="{9EDF22A4-E4B2-48B6-AD3D-0BE485A40D26}" name="Project Number" dataDxfId="11">
      <calculatedColumnFormula>Input_ProjectNumber</calculatedColumnFormula>
    </tableColumn>
    <tableColumn id="3" xr3:uid="{F859D182-8016-4172-A4B6-3B0EEE37FAE5}" name="Line Ref No." dataDxfId="10"/>
    <tableColumn id="4" xr3:uid="{C54F4813-8C41-4CD8-A0D4-73CBF600E09F}" name="Measure Number" dataDxfId="9"/>
    <tableColumn id="5" xr3:uid="{19E1D120-0A8A-4B1A-94ED-FA426FDD8475}" name="Unit of Measure" dataDxfId="8"/>
    <tableColumn id="6" xr3:uid="{1F77E8C1-7320-44EA-8A57-57259BF07F35}" name="Units" dataDxfId="7"/>
    <tableColumn id="7" xr3:uid="{1F937121-6018-4D01-A8F7-949B9D82B1AC}" name="kWh Savings" dataDxfId="6"/>
    <tableColumn id="8" xr3:uid="{36567BEC-6C41-4BEF-841E-E148D3329C61}" name="kW Savings" dataDxfId="5"/>
    <tableColumn id="9" xr3:uid="{A460E20F-8F1A-440D-B049-49AE2A807C1B}" name="Incentive" dataDxfId="4">
      <calculatedColumnFormula>IFERROR(N2*MIN(Table_Measure_Caps[[#Totals],[Estimated Raw Incentive Total]], Table_Measure_Caps[[#Totals],[Gross Measure Cost Total]], Value_Project_CAP)/Table_Measure_Caps[[#Totals],[Estimated Raw Incentive Total]], "")</calculatedColumnFormula>
    </tableColumn>
    <tableColumn id="10" xr3:uid="{381FB756-DD36-4756-9963-B143861FC6D2}" name="Equipment Cost" dataDxfId="3"/>
    <tableColumn id="11" xr3:uid="{2AEAB220-3903-4800-985E-9696295079E6}" name="Labor Cost" dataDxfId="2"/>
    <tableColumn id="15" xr3:uid="{31A47813-DF33-4ED0-B687-26FDA4A4DFE2}" name="Calculator Version" dataDxfId="1">
      <calculatedColumnFormula>_xlfn.SINGLE(IF(ISNUMBER($D2)=TRUE,Value_CalcVersion,""))</calculatedColumnFormula>
    </tableColumn>
    <tableColumn id="16" xr3:uid="{00B36A9C-1D39-4559-88E5-6B6F68BA784A}" name="Measure Description" dataDxfId="0"/>
  </tableColumns>
  <tableStyleInfo name="Lookup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14C4C60-A37E-4AE9-ADD1-4B2CF5A54258}" name="Table_Custom_Input" displayName="Table_Custom_Input" ref="B5:Q55" totalsRowShown="0" headerRowDxfId="215" dataDxfId="213" headerRowBorderDxfId="214" tableBorderDxfId="212" headerRowCellStyle="Locked Cell Bold" dataCellStyle="Locked Cell Bold">
  <autoFilter ref="B5:Q55" xr:uid="{F14C4C60-A37E-4AE9-ADD1-4B2CF5A542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E0EFB119-A642-449F-A3A9-CB1887140A3B}" name="Line Ref. No." dataDxfId="211" dataCellStyle="Locked Cell"/>
    <tableColumn id="31" xr3:uid="{9ADE8167-8016-4FEB-ACEE-8519A40B1040}" name="Measure Number" dataDxfId="210" dataCellStyle="Locked Cell">
      <calculatedColumnFormula>IFERROR(INDEX(Table_Prescript_Meas[Measure Number], MATCH(Table_Custom_Input[[#This Row],[Refrigeration Measure]], Table_Prescript_Meas[Measure Description], 0)), "")</calculatedColumnFormula>
    </tableColumn>
    <tableColumn id="2" xr3:uid="{C02CFE29-FCF2-4262-892E-895CB8DDC2B4}" name="Location / Measure Notes" dataDxfId="209" dataCellStyle="Locked Cell"/>
    <tableColumn id="3" xr3:uid="{E1B28E8C-D5F2-4C23-8DD5-FA90D0E0F659}" name="Refrigeration Measure" dataDxfId="208" dataCellStyle="Input General"/>
    <tableColumn id="4" xr3:uid="{4EC6AC3D-A4EB-454F-BC53-CC9E14FE8DD4}" name="Unit of Measure" dataDxfId="207" dataCellStyle="Locked Cell">
      <calculatedColumnFormula>IFERROR(INDEX(Table_Prescript_Meas[Units], MATCH(Table_Custom_Input[[#This Row],[Measure Number]], Table_Prescript_Meas[Measure Number], 0)), "")</calculatedColumnFormula>
    </tableColumn>
    <tableColumn id="13" xr3:uid="{00C82BC5-CD3C-4285-96D1-CF46E597D300}" name="Number of Units" dataDxfId="206"/>
    <tableColumn id="18" xr3:uid="{4601385C-DB97-449C-A7D4-A5EE004A1DB1}" name="Total Equipment Cost" dataDxfId="205">
      <calculatedColumnFormula>150*G6</calculatedColumnFormula>
    </tableColumn>
    <tableColumn id="19" xr3:uid="{0E97AF02-0588-4EA9-85F6-510763FCC56B}" name="Total Labor Cost" dataDxfId="204"/>
    <tableColumn id="5" xr3:uid="{EA606538-22C8-420B-A8F6-77F9AA271796}" name="Per-Unit Incentive" dataDxfId="203" dataCellStyle="Input General">
      <calculatedColumnFormula>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calculatedColumnFormula>
    </tableColumn>
    <tableColumn id="23" xr3:uid="{D3C788C1-6B66-45C5-9FFC-1B70A55A454D}" name="Estimated Incentive" dataDxfId="202" dataCellStyle="Locked Cell">
      <calculatedColumnFormula>IFERROR(Table_Custom_Input[[#This Row],[Number of Units]]*Table_Custom_Input[[#This Row],[Per-Unit Incentive]],"")</calculatedColumnFormula>
    </tableColumn>
    <tableColumn id="20" xr3:uid="{5DB70777-8B9B-4F83-99E9-C00D72DF09FF}" name="Energy Savings (kWh)" dataDxfId="201" dataCellStyle="Locked Cell">
      <calculatedColumnFormula>IFERROR(Table_Custom_Input[[#This Row],[Number of Units]]*INDEX(Table_Prescript_Meas[Deemed kWh Savings], MATCH(Table_Custom_Input[[#This Row],[Measure Number]], Table_Prescript_Meas[Measure Number], 0)),"" )</calculatedColumnFormula>
    </tableColumn>
    <tableColumn id="21" xr3:uid="{65A12173-B4B9-4A58-960A-717AC4D32DE4}" name="Demand Reduction (kW)" dataDxfId="200" dataCellStyle="Locked Cell">
      <calculatedColumnFormula>IFERROR(Table_Custom_Input[[#This Row],[Number of Units]]*INDEX(Table_Prescript_Meas[Deemed kW Savings], MATCH(Table_Custom_Input[[#This Row],[Measure Number]], Table_Prescript_Meas[Measure Number], 0)),"" )</calculatedColumnFormula>
    </tableColumn>
    <tableColumn id="22" xr3:uid="{56F2A788-173F-48D4-960A-3C62B4EF2021}" name="Cost Savings" dataDxfId="199" dataCellStyle="Locked Cell">
      <calculatedColumnFormula>IFERROR(Table_Custom_Input[[#This Row],[Energy Savings (kWh)]]*Input_AvgkWhRate, "")</calculatedColumnFormula>
    </tableColumn>
    <tableColumn id="24" xr3:uid="{EA2316D4-69EB-4F6A-910D-BDE56162E1EB}" name="Gross Measure Cost" dataDxfId="198" dataCellStyle="Locked Cell">
      <calculatedColumnFormula>IF(Table_Custom_Input[[#This Row],[Measure Number]]&lt;&gt;"",Table_Custom_Input[[#This Row],[Total Equipment Cost]]+Table_Custom_Input[[#This Row],[Total Labor Cost]],"")</calculatedColumnFormula>
    </tableColumn>
    <tableColumn id="25" xr3:uid="{2AE63801-7AD5-46CB-9215-6AD5381CA143}" name="Net Measure Cost" dataDxfId="197" dataCellStyle="Locked Cell">
      <calculatedColumnFormula>IF(Table_Custom_Input[[#This Row],[Measure Number]]="","",Table_Custom_Input[[#This Row],[Gross Measure Cost]]-Table_Custom_Input[[#This Row],[Estimated Incentive]])</calculatedColumnFormula>
    </tableColumn>
    <tableColumn id="26" xr3:uid="{B856D97F-A222-4CE8-AECF-A9EF0B27ABD1}" name="Simple Payback (Years)" dataDxfId="196" dataCellStyle="Locked Cell">
      <calculatedColumnFormula>IFERROR(Refrigeration!$P6/Refrigeration!$N6, "")</calculatedColumnFormula>
    </tableColumn>
  </tableColumns>
  <tableStyleInfo name="Lookup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7D6384-D399-4BE2-8204-2C5C116C0E19}" name="Table_Controls_Input" displayName="Table_Controls_Input" ref="B4:Q34" totalsRowShown="0" headerRowDxfId="194" headerRowBorderDxfId="193" tableBorderDxfId="192" totalsRowBorderDxfId="191" headerRowCellStyle="Table Top 1" dataCellStyle="Locked Cell">
  <autoFilter ref="B4:Q34" xr:uid="{C86DCFFF-2D47-473A-9BC9-BAB0551BF8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87CB3CB4-7433-495B-ACCF-EA4D6E787F6A}" name="Line Ref. No." dataDxfId="190" dataCellStyle="Locked Cell"/>
    <tableColumn id="2" xr3:uid="{037C8D0B-3718-4880-9E96-D23695FA24C0}" name="Measure Number" dataDxfId="189" dataCellStyle="Locked Cell">
      <calculatedColumnFormula>IFERROR(INDEX(Table_Prescript_Meas[Measure Number], MATCH(E5, Table_Prescript_Meas[Measure Description], 0)), "")</calculatedColumnFormula>
    </tableColumn>
    <tableColumn id="5" xr3:uid="{611C12EE-FBD5-490D-8389-4A99F541E3CE}" name="Location / Measure Notes" dataDxfId="188" dataCellStyle="Locked Cell"/>
    <tableColumn id="4" xr3:uid="{3A6C7D48-9C8E-4469-BE19-1D20709C4EEA}" name="Commercial Kitchen Measure" dataDxfId="187" dataCellStyle="Input General"/>
    <tableColumn id="3" xr3:uid="{E786399E-A3A2-452D-9AAA-EF5B9807A73B}" name="Unit of Measure" dataDxfId="186" dataCellStyle="Input General">
      <calculatedColumnFormula>IFERROR(INDEX(Table_Prescript_Meas[Units], MATCH(Table_Controls_Input[[#This Row],[Measure Number]], Table_Prescript_Meas[Measure Number], 0)), "")</calculatedColumnFormula>
    </tableColumn>
    <tableColumn id="8" xr3:uid="{E34A0752-2B5F-462A-928A-7F75B5633DB7}" name="Number of Units" dataDxfId="185" dataCellStyle="Input General"/>
    <tableColumn id="14" xr3:uid="{AACC69F4-6890-4204-937D-36EC75225013}" name="Total Equipment Cost" dataDxfId="184" dataCellStyle="Input General"/>
    <tableColumn id="15" xr3:uid="{8CDB3A5A-01EC-4874-AB74-53CAD120C72C}" name="Total Labor Cost" dataDxfId="183" dataCellStyle="Input General"/>
    <tableColumn id="16" xr3:uid="{8407FCB0-AD56-49D0-BE27-293D6F6A17F3}" name="Per-Unit Incentive" dataDxfId="182" dataCellStyle="Locked Cell">
      <calculatedColumnFormula>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calculatedColumnFormula>
    </tableColumn>
    <tableColumn id="17" xr3:uid="{D6A3A901-6F97-4E0D-BB2A-54636D44E9B0}" name="Estimated Incentive" dataDxfId="181" dataCellStyle="Locked Cell">
      <calculatedColumnFormula>IFERROR(Table_Controls_Input[[#This Row],[Number of Units]]*Table_Controls_Input[[#This Row],[Per-Unit Incentive]], "")</calculatedColumnFormula>
    </tableColumn>
    <tableColumn id="18" xr3:uid="{A9E6A88B-96AF-4060-99B9-A30B9C7408F0}" name="Energy Savings (kWh)" dataDxfId="180" dataCellStyle="Locked Cell">
      <calculatedColumnFormula>IFERROR(Table_Controls_Input[[#This Row],[Number of Units]]*INDEX(Table_Prescript_Meas[Deemed kWh Savings], MATCH(Table_Controls_Input[[#This Row],[Measure Number]], Table_Prescript_Meas[Measure Number], 0)),"" )</calculatedColumnFormula>
    </tableColumn>
    <tableColumn id="20" xr3:uid="{FF0B6487-3E9B-4EBC-B8A0-DCBEDC804E4D}" name="Demand Reduction (kW)" dataDxfId="179" dataCellStyle="Locked Cell">
      <calculatedColumnFormula>IFERROR(Table_Controls_Input[[#This Row],[Number of Units]]*INDEX(Table_Prescript_Meas[Deemed kW Savings], MATCH(Table_Controls_Input[[#This Row],[Measure Number]], Table_Prescript_Meas[Measure Number], 0)),"" )</calculatedColumnFormula>
    </tableColumn>
    <tableColumn id="19" xr3:uid="{4147DE18-432B-4537-ACD2-082A5821D611}" name="Cost Savings" dataDxfId="178" dataCellStyle="Locked Cell">
      <calculatedColumnFormula>IFERROR(L5*Input_AvgkWhRate, "")</calculatedColumnFormula>
    </tableColumn>
    <tableColumn id="24" xr3:uid="{583951C0-4606-42D0-810B-D55385B9D03B}" name="Gross Measure Cost" dataDxfId="177" dataCellStyle="Locked Cell">
      <calculatedColumnFormula>IF(Table_Controls_Input[[#This Row],[Measure Number]]="", "", Table_Controls_Input[[#This Row],[Total Equipment Cost]]+Table_Controls_Input[[#This Row],[Total Labor Cost]])</calculatedColumnFormula>
    </tableColumn>
    <tableColumn id="21" xr3:uid="{AD331DEC-E23E-428A-93B1-BA789D8899E1}" name="Net Measure Cost" dataDxfId="176" dataCellStyle="Locked Cell">
      <calculatedColumnFormula>IFERROR(Table_Controls_Input[[#This Row],[Gross Measure Cost]]-Table_Controls_Input[[#This Row],[Estimated Incentive]], "")</calculatedColumnFormula>
    </tableColumn>
    <tableColumn id="22" xr3:uid="{04B74A6C-BEA7-4EFF-83FB-9212991C52CF}" name="Simple Payback (Years)" dataDxfId="175" dataCellStyle="Locked Cell">
      <calculatedColumnFormula>IFERROR($P5/$N5,"")</calculatedColumnFormula>
    </tableColumn>
  </tableColumns>
  <tableStyleInfo name="Lookup Tabl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86B3FDC9-D8DE-43A3-95BA-B36C7A58D8DB}" name="Table_Controls_Input23" displayName="Table_Controls_Input23" ref="B4:S34" totalsRowShown="0" headerRowDxfId="173" headerRowBorderDxfId="172" tableBorderDxfId="171" totalsRowBorderDxfId="170" headerRowCellStyle="Table Top 1" dataCellStyle="Locked Cell">
  <autoFilter ref="B4:S34" xr:uid="{C86DCFFF-2D47-473A-9BC9-BAB0551BF8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4C5AF579-48D8-4565-B38A-BFDEB8EABBB7}" name="Line Ref. No." dataDxfId="169" dataCellStyle="Locked Cell"/>
    <tableColumn id="2" xr3:uid="{72349F2E-8146-4649-B889-D373F2105673}" name="Measure Number" dataDxfId="168" dataCellStyle="Locked Cell">
      <calculatedColumnFormula>IFERROR(INDEX(Table_WinFilm_Savings[Measure No], MATCH(Table_Controls_Input23[[#This Row],[Measure Lookup Detail]], Table_WinFilm_Savings[Lookup Detail], 0)), "")</calculatedColumnFormula>
    </tableColumn>
    <tableColumn id="5" xr3:uid="{0BF427F7-D71A-4D86-B1DF-436C5FB2D6E6}" name="Location / Measure Notes" dataDxfId="167" dataCellStyle="Locked Cell"/>
    <tableColumn id="4" xr3:uid="{8D6A0E6C-D3E5-4C6D-8D2D-9421BA0793E8}" name="Window Film Measure" dataDxfId="166" dataCellStyle="Input General"/>
    <tableColumn id="3" xr3:uid="{ED247080-4A30-4B9F-9F63-26EB62C103B9}" name="Unit of Measure" dataDxfId="165" dataCellStyle="Input General">
      <calculatedColumnFormula>IFERROR(INDEX(Table_Prescript_Meas[Units], MATCH(Table_Controls_Input23[[#This Row],[Measure Number]], Table_Prescript_Meas[Measure Number], 0)), "")</calculatedColumnFormula>
    </tableColumn>
    <tableColumn id="6" xr3:uid="{DAFFB0BF-462E-4054-9429-2FD880813029}" name="Window Direction" dataCellStyle="Input General"/>
    <tableColumn id="8" xr3:uid="{C7908A39-4BE6-419B-8B5A-50A9833802B9}" name="Number of Units (Sq.Ft.)" dataDxfId="164" dataCellStyle="Input General"/>
    <tableColumn id="14" xr3:uid="{A32B48F9-7B59-41E7-8DBB-6EE0630680CB}" name="Total Equipment Cost" dataDxfId="163" dataCellStyle="Input General"/>
    <tableColumn id="15" xr3:uid="{D645AFF8-BF80-4C3C-8477-62F64F2CFCB1}" name="Total Labor Cost" dataDxfId="162" dataCellStyle="Input General"/>
    <tableColumn id="16" xr3:uid="{53539575-221F-431E-BB41-0017C61BF9E6}" name="Per-Unit Incentive" dataDxfId="161" dataCellStyle="Locked Cell">
      <calculatedColumnFormula>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calculatedColumnFormula>
    </tableColumn>
    <tableColumn id="17" xr3:uid="{527E33A0-C245-4BCA-A9A7-98C9BE43E670}" name="Estimated Incentive" dataDxfId="160" dataCellStyle="Locked Cell">
      <calculatedColumnFormula>IFERROR(Table_Controls_Input23[[#This Row],[Number of Units (Sq.Ft.)]]*Table_Controls_Input23[[#This Row],[Per-Unit Incentive]], "")</calculatedColumnFormula>
    </tableColumn>
    <tableColumn id="18" xr3:uid="{576E8C0E-DDA9-4A36-A58C-19CFBA1D17F0}" name="Energy Savings (kWh)" dataDxfId="159" dataCellStyle="Locked Cell">
      <calculatedColumnFormula>IFERROR(Table_Controls_Input23[[#This Row],[Number of Units (Sq.Ft.)]]*INDEX(Table_WinFilm_Savings[Deemed kWh Savings], MATCH(Table_Controls_Input23[[#This Row],[Measure Lookup Detail]], Table_WinFilm_Savings[Lookup Detail], 0)),"" )</calculatedColumnFormula>
    </tableColumn>
    <tableColumn id="20" xr3:uid="{BAD3BC5F-7209-4647-9CD2-5A2FA98A5296}" name="Demand Reduction (kW)" dataDxfId="158" dataCellStyle="Locked Cell">
      <calculatedColumnFormula>IFERROR(Table_Controls_Input23[[#This Row],[Number of Units (Sq.Ft.)]]*INDEX(Table_WinFilm_Savings[Deemed kW Savings], MATCH(Table_Controls_Input23[[#This Row],[Measure Lookup Detail]], Table_WinFilm_Savings[Lookup Detail], 0)),"" )</calculatedColumnFormula>
    </tableColumn>
    <tableColumn id="19" xr3:uid="{84FF3B8E-3D55-4DD9-A995-8D9E817EF7D3}" name="Cost Savings" dataDxfId="157" dataCellStyle="Locked Cell">
      <calculatedColumnFormula>IFERROR(M5*Input_AvgkWhRate, "")</calculatedColumnFormula>
    </tableColumn>
    <tableColumn id="24" xr3:uid="{0E03C9C4-4720-4332-B13E-17638AD0A076}" name="Gross Measure Cost" dataDxfId="156" dataCellStyle="Locked Cell">
      <calculatedColumnFormula>IF(Table_Controls_Input23[[#This Row],[Measure Number]]="", "", Table_Controls_Input23[[#This Row],[Total Equipment Cost]]+Table_Controls_Input23[[#This Row],[Total Labor Cost]])</calculatedColumnFormula>
    </tableColumn>
    <tableColumn id="21" xr3:uid="{27EFA2F8-D5DE-43E1-9A71-CECA74BAB650}" name="Net Measure Cost" dataDxfId="155" dataCellStyle="Locked Cell">
      <calculatedColumnFormula>IFERROR(Table_Controls_Input23[[#This Row],[Gross Measure Cost]]-Table_Controls_Input23[[#This Row],[Estimated Incentive]], "")</calculatedColumnFormula>
    </tableColumn>
    <tableColumn id="22" xr3:uid="{75569092-7E6D-4A35-975F-2B0227F37119}" name="Simple Payback (Years)" dataDxfId="154" dataCellStyle="Locked Cell">
      <calculatedColumnFormula>IFERROR($Q5/$O5,"")</calculatedColumnFormula>
    </tableColumn>
    <tableColumn id="7" xr3:uid="{E78B77FC-650B-467B-9BA5-32A5A960C8C0}" name="Measure Lookup Detail" dataDxfId="153" dataCellStyle="Locked Cell">
      <calculatedColumnFormula>_xlfn.CONCAT(Table_Controls_Input23[[#This Row],[Window Film Measure]], Table_Controls_Input23[[#This Row],[Window Direction]])</calculatedColumnFormula>
    </tableColumn>
  </tableColumns>
  <tableStyleInfo name="Lookup Tabl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7F6CC99-070E-4C5C-BF86-21D590D1BDBD}" name="Table_Controls_Input235" displayName="Table_Controls_Input235" ref="B4:S34" totalsRowShown="0" headerRowDxfId="151" headerRowBorderDxfId="150" tableBorderDxfId="149" totalsRowBorderDxfId="148" headerRowCellStyle="Table Top 1" dataCellStyle="Locked Cell">
  <autoFilter ref="B4:S34" xr:uid="{C86DCFFF-2D47-473A-9BC9-BAB0551BF8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9B46DE65-39D4-4F8B-8E42-38B31F0A96B7}" name="Line Ref. No." dataDxfId="147" dataCellStyle="Locked Cell"/>
    <tableColumn id="2" xr3:uid="{D9D79E7B-D7E4-4850-A8EF-809776D3EB46}" name="Measure Number" dataDxfId="146" dataCellStyle="Locked Cell">
      <calculatedColumnFormula>IFERROR(INDEX(Table_EffWindow_Savings[Measure No], MATCH(Table_Controls_Input235[[#This Row],[Measure Lookup Detail]], Table_EffWindow_Savings[Lookup Detail], 0)), "")</calculatedColumnFormula>
    </tableColumn>
    <tableColumn id="5" xr3:uid="{E736602C-9470-4669-8BD7-35B30ED32791}" name="Location / Measure Notes" dataDxfId="145" dataCellStyle="Locked Cell"/>
    <tableColumn id="4" xr3:uid="{C67B4406-7339-453C-A15F-6B450CC4D0FF}" name="Window Replacement Measure" dataDxfId="144" dataCellStyle="Input General"/>
    <tableColumn id="3" xr3:uid="{9B4810B0-BAEE-4CB6-AFD8-EFFA3F0FAB27}" name="Unit of Measure" dataDxfId="143" dataCellStyle="Input General">
      <calculatedColumnFormula>IFERROR(INDEX(Table_Prescript_Meas[Units], MATCH(Table_Controls_Input235[[#This Row],[Measure Number]], Table_Prescript_Meas[Measure Number], 0)), "")</calculatedColumnFormula>
    </tableColumn>
    <tableColumn id="6" xr3:uid="{60EA572C-51E5-465B-953D-4059FA5D9A24}" name="Window Direction" dataCellStyle="Input General"/>
    <tableColumn id="8" xr3:uid="{C9108AF7-E5B1-4EB7-9435-830E2435C691}" name="Number of Units (Sq.Ft.)" dataDxfId="142" dataCellStyle="Input General"/>
    <tableColumn id="14" xr3:uid="{198E70BD-6E1F-4488-A569-D055CCDD62DE}" name="Total Equipment Cost" dataDxfId="141" dataCellStyle="Input General"/>
    <tableColumn id="15" xr3:uid="{0D5A344B-85E5-4B4B-8B64-7D7D0E03AC04}" name="Total Labor Cost" dataDxfId="140" dataCellStyle="Input General"/>
    <tableColumn id="16" xr3:uid="{EF64216C-3BC4-49D9-9FFF-B705B131EA2B}" name="Per-Unit Incentive" dataDxfId="139" dataCellStyle="Locked Cell">
      <calculatedColumnFormula>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calculatedColumnFormula>
    </tableColumn>
    <tableColumn id="17" xr3:uid="{3F5395F4-43FA-47EC-A6D3-4F338A8D23BF}" name="Estimated Incentive" dataDxfId="138" dataCellStyle="Locked Cell">
      <calculatedColumnFormula>IFERROR(Table_Controls_Input235[[#This Row],[Number of Units (Sq.Ft.)]]*Table_Controls_Input235[[#This Row],[Per-Unit Incentive]], "")</calculatedColumnFormula>
    </tableColumn>
    <tableColumn id="18" xr3:uid="{20BC8807-077B-4820-824B-9CC3D4FAED04}" name="Energy Savings (kWh)" dataDxfId="137" dataCellStyle="Locked Cell">
      <calculatedColumnFormula>IFERROR(Table_Controls_Input235[[#This Row],[Number of Units (Sq.Ft.)]]*INDEX(Table_EffWindow_Savings[Deemed kWh Savings], MATCH(Table_Controls_Input235[[#This Row],[Measure Lookup Detail]], Table_EffWindow_Savings[Lookup Detail], 0)),"" )</calculatedColumnFormula>
    </tableColumn>
    <tableColumn id="20" xr3:uid="{6A968C17-0B9D-45C5-824F-8F8FCBF10153}" name="Demand Reduction (kW)" dataDxfId="136" dataCellStyle="Locked Cell">
      <calculatedColumnFormula>IFERROR(Table_Controls_Input235[[#This Row],[Number of Units (Sq.Ft.)]]*INDEX(Table_EffWindow_Savings[Deemed kW Savings], MATCH(Table_Controls_Input235[[#This Row],[Measure Lookup Detail]], Table_EffWindow_Savings[Lookup Detail], 0)),"" )</calculatedColumnFormula>
    </tableColumn>
    <tableColumn id="19" xr3:uid="{9BFFA572-CEB2-47C2-BD93-D9623F72C539}" name="Cost Savings" dataDxfId="135" dataCellStyle="Locked Cell">
      <calculatedColumnFormula>IFERROR(M5*Input_AvgkWhRate, "")</calculatedColumnFormula>
    </tableColumn>
    <tableColumn id="24" xr3:uid="{7AD84ADE-B547-4451-B180-27A026AB2EB9}" name="Gross Measure Cost" dataDxfId="134" dataCellStyle="Locked Cell">
      <calculatedColumnFormula>IF(Table_Controls_Input235[[#This Row],[Measure Number]]="", "", Table_Controls_Input235[[#This Row],[Total Equipment Cost]]+Table_Controls_Input235[[#This Row],[Total Labor Cost]])</calculatedColumnFormula>
    </tableColumn>
    <tableColumn id="21" xr3:uid="{6F54B561-7F16-4C93-BB69-EE6929596BD9}" name="Net Measure Cost" dataDxfId="133" dataCellStyle="Locked Cell">
      <calculatedColumnFormula>IFERROR(Table_Controls_Input235[[#This Row],[Gross Measure Cost]]-Table_Controls_Input235[[#This Row],[Estimated Incentive]], "")</calculatedColumnFormula>
    </tableColumn>
    <tableColumn id="22" xr3:uid="{A7A76FDD-D7D0-43A3-BC41-ED7509C461CF}" name="Simple Payback (Years)" dataDxfId="132" dataCellStyle="Locked Cell">
      <calculatedColumnFormula>IFERROR($Q5/$O5,"")</calculatedColumnFormula>
    </tableColumn>
    <tableColumn id="7" xr3:uid="{2EFEB696-4B13-429A-888A-6D904467A0C6}" name="Measure Lookup Detail" dataDxfId="131" dataCellStyle="Locked Cell">
      <calculatedColumnFormula>_xlfn.CONCAT(Table_Controls_Input235[[#This Row],[Window Replacement Measure]],Table_Controls_Input235[[#This Row],[Window Direction]])</calculatedColumnFormula>
    </tableColumn>
  </tableColumns>
  <tableStyleInfo name="Lookup Tabl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775DE01E-8AFC-4321-9309-3DF89B818C17}" name="Table_Controls_Input22" displayName="Table_Controls_Input22" ref="B4:Q34" totalsRowShown="0" headerRowDxfId="129" headerRowBorderDxfId="128" tableBorderDxfId="127" totalsRowBorderDxfId="126" headerRowCellStyle="Table Top 1" dataCellStyle="Locked Cell">
  <autoFilter ref="B4:Q34" xr:uid="{C86DCFFF-2D47-473A-9BC9-BAB0551BF8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FA6D4324-8408-4511-8EFB-010FF4E0C61D}" name="Line Ref. No." dataDxfId="125" dataCellStyle="Locked Cell"/>
    <tableColumn id="2" xr3:uid="{0A32FCC8-00B1-45B3-82A8-916F7D1FB95E}" name="Measure Number" dataDxfId="124" dataCellStyle="Locked Cell">
      <calculatedColumnFormula>IFERROR(INDEX(Table_Prescript_Meas[Measure Number], MATCH(E5, Table_Prescript_Meas[Measure Description], 0)), "")</calculatedColumnFormula>
    </tableColumn>
    <tableColumn id="5" xr3:uid="{2502B7A7-62D1-472C-BDB6-33EA6433EF46}" name="Location / Measure Notes" dataDxfId="123" dataCellStyle="Locked Cell"/>
    <tableColumn id="4" xr3:uid="{D73AE1F4-E5D4-4A9D-AB00-360C316941EF}" name="Miscellaneous Measure" dataDxfId="122" dataCellStyle="Input General"/>
    <tableColumn id="3" xr3:uid="{C8D9C5D3-6630-46B2-8B4A-7032CB445B65}" name="Unit of Measure" dataDxfId="121" dataCellStyle="Input General">
      <calculatedColumnFormula>IFERROR(INDEX(Table_Prescript_Meas[Units], MATCH(Table_Controls_Input22[[#This Row],[Measure Number]], Table_Prescript_Meas[Measure Number], 0)), "")</calculatedColumnFormula>
    </tableColumn>
    <tableColumn id="8" xr3:uid="{84CB62B7-4BB4-4C28-9533-493B4C316463}" name="Number of Units" dataDxfId="120" dataCellStyle="Input General"/>
    <tableColumn id="14" xr3:uid="{338C641A-351F-47E3-B984-5944EF3D6D2B}" name="Total Equipment Cost" dataDxfId="119" dataCellStyle="Input General"/>
    <tableColumn id="15" xr3:uid="{41ADC273-E61A-4487-B748-D32D319E7936}" name="Total Labor Cost" dataDxfId="118" dataCellStyle="Input General"/>
    <tableColumn id="16" xr3:uid="{5075CE9B-C415-45EC-80A6-A015AEA0E4B9}" name="Per-Unit Incentive" dataDxfId="117" dataCellStyle="Locked Cell">
      <calculatedColumnFormula>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calculatedColumnFormula>
    </tableColumn>
    <tableColumn id="17" xr3:uid="{1365EF71-2C77-4E79-A71D-9448F5E6A38A}" name="Estimated Incentive" dataDxfId="116" dataCellStyle="Locked Cell">
      <calculatedColumnFormula>IFERROR(Table_Controls_Input22[[#This Row],[Number of Units]]*Table_Controls_Input22[[#This Row],[Per-Unit Incentive]], "")</calculatedColumnFormula>
    </tableColumn>
    <tableColumn id="18" xr3:uid="{46BC862A-CE2A-42E8-93AE-6E8BAAC2E2CD}" name="Energy Savings (kWh)" dataDxfId="115" dataCellStyle="Locked Cell">
      <calculatedColumnFormula>IFERROR(Table_Controls_Input22[[#This Row],[Number of Units]]*INDEX(Table_Prescript_Meas[Deemed kWh Savings], MATCH(Table_Controls_Input22[[#This Row],[Measure Number]], Table_Prescript_Meas[Measure Number], 0)),"" )</calculatedColumnFormula>
    </tableColumn>
    <tableColumn id="20" xr3:uid="{BC34BCCB-6FC2-4476-B5DE-F7649823F08D}" name="Demand Reduction (kW)" dataDxfId="114" dataCellStyle="Locked Cell">
      <calculatedColumnFormula>IFERROR(Table_Controls_Input22[[#This Row],[Number of Units]]*INDEX(Table_Prescript_Meas[Deemed kW Savings], MATCH(Table_Controls_Input22[[#This Row],[Measure Number]], Table_Prescript_Meas[Measure Number], 0)),"" )</calculatedColumnFormula>
    </tableColumn>
    <tableColumn id="19" xr3:uid="{729245E1-E41C-4D50-BBAF-ACEAF346B6DF}" name="Cost Savings" dataDxfId="113" dataCellStyle="Locked Cell">
      <calculatedColumnFormula>IFERROR(L5*Input_AvgkWhRate, "")</calculatedColumnFormula>
    </tableColumn>
    <tableColumn id="24" xr3:uid="{28AA99DF-584C-49A4-968B-E66BE6EF6D31}" name="Gross Measure Cost" dataDxfId="112" dataCellStyle="Locked Cell">
      <calculatedColumnFormula>IF(Table_Controls_Input22[[#This Row],[Measure Number]]="", "", Table_Controls_Input22[[#This Row],[Total Equipment Cost]]+Table_Controls_Input22[[#This Row],[Total Labor Cost]])</calculatedColumnFormula>
    </tableColumn>
    <tableColumn id="21" xr3:uid="{59821C92-B202-4591-A70A-521218BCF8CD}" name="Net Measure Cost" dataDxfId="111" dataCellStyle="Locked Cell">
      <calculatedColumnFormula>IFERROR(Table_Controls_Input22[[#This Row],[Gross Measure Cost]]-Table_Controls_Input22[[#This Row],[Estimated Incentive]], "")</calculatedColumnFormula>
    </tableColumn>
    <tableColumn id="22" xr3:uid="{F4069DE9-4210-4E09-8EFC-94AEC40A1843}" name="Simple Payback (Years)" dataDxfId="110" dataCellStyle="Locked Cell">
      <calculatedColumnFormula>IFERROR($P5/$N5,"")</calculatedColumnFormula>
    </tableColumn>
  </tableColumns>
  <tableStyleInfo name="Lookup Tabl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6AE6252-95DA-495D-AB84-5D43E81D62CE}" name="Table_Controls_Input2225" displayName="Table_Controls_Input2225" ref="B4:X24" totalsRowShown="0" headerRowDxfId="108" headerRowBorderDxfId="107" tableBorderDxfId="106" totalsRowBorderDxfId="105" headerRowCellStyle="Table Top 1" dataCellStyle="Locked Cell">
  <autoFilter ref="B4:X24" xr:uid="{C86DCFFF-2D47-473A-9BC9-BAB0551BF8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E8B5577F-D1F4-44D2-BEEF-0DEE0436D77F}" name="Line Ref. No." dataDxfId="104" dataCellStyle="Locked Cell"/>
    <tableColumn id="27" xr3:uid="{EDCA10BE-897A-4464-847F-37B11E35A1CF}" name="Measure Number" dataDxfId="103" dataCellStyle="Locked Cell">
      <calculatedColumnFormula>IFERROR(INDEX(Table_Prescript_Meas[Measure Number], MATCH(Table_Controls_Input2225[[#This Row],[Measure Classification]], Table_Prescript_Meas[Measure Description], 0)),"")</calculatedColumnFormula>
    </tableColumn>
    <tableColumn id="3" xr3:uid="{84E42968-E4E1-42BD-8FF2-C3B96E734A4C}" name="Location / Measure Notes" dataDxfId="102" dataCellStyle="Locked Cell"/>
    <tableColumn id="2" xr3:uid="{929277C3-9A75-4BC9-A37A-31FAE7EC6876}" name="Measure Name" dataCellStyle="Input General"/>
    <tableColumn id="4" xr3:uid="{99AA61B4-ADD1-4772-84A3-79644917E445}" name="Measure Type" dataDxfId="101" dataCellStyle="Input General"/>
    <tableColumn id="5" xr3:uid="{4B676B0C-4A2B-4D8A-8EDC-70CE53B32A30}" name="Measure Classification" dataDxfId="100" dataCellStyle="Input General"/>
    <tableColumn id="6" xr3:uid="{577628E1-A383-450A-B444-250954872D36}" name="Location" dataDxfId="99" dataCellStyle="Input General"/>
    <tableColumn id="7" xr3:uid="{B32B5A50-4D86-4BD6-9729-C36CD56F429F}" name="HVAC in Location" dataDxfId="98" dataCellStyle="Input General"/>
    <tableColumn id="9" xr3:uid="{2CE347E4-D6FC-47BB-8650-773B3E336501}" name="Summary of Existing Conditions" dataDxfId="97" dataCellStyle="Input General"/>
    <tableColumn id="10" xr3:uid="{DD32D2EB-8FBC-484E-9604-339B61210ADA}" name="Existing Energy Consumption (kWh/yr)" dataDxfId="96" dataCellStyle="Input General"/>
    <tableColumn id="11" xr3:uid="{C09C05C5-24BD-4D65-AB55-02383995853E}" name="Existing Peak Demand (kW)" dataDxfId="95" dataCellStyle="Input General"/>
    <tableColumn id="12" xr3:uid="{16E2D842-612A-4331-AC4F-1F673F0F97FC}" name="Summary of Proposed Conditions" dataDxfId="94" dataCellStyle="Input General"/>
    <tableColumn id="13" xr3:uid="{E9B66803-1CAC-4D90-942F-0255F2189377}" name="Proposed Energy Consumption (kWh/yr)" dataDxfId="93" dataCellStyle="Input General"/>
    <tableColumn id="25" xr3:uid="{E2A37F28-15E1-4348-B9B7-8ABF085EAA13}" name="Proposed Peak Demand (kW)" dataDxfId="92" dataCellStyle="Input General"/>
    <tableColumn id="14" xr3:uid="{3D3A3108-4732-4F5C-9128-0BAFEBDA2435}" name="Total Equipment Cost" dataDxfId="91" dataCellStyle="Input General"/>
    <tableColumn id="15" xr3:uid="{ACB4220E-44FE-4F2D-BD65-1B95FF325B1A}" name="Total Labor Cost" dataDxfId="90" dataCellStyle="Input General"/>
    <tableColumn id="17" xr3:uid="{308D612D-3FBC-4973-BD21-ACEEEB998072}" name="Estimated Incentive" dataDxfId="89" dataCellStyle="Locked Cell">
      <calculatedColumnFormula>IF(Table_Controls_Input2225[[#This Row],[Measure Name]]="","", Table_Controls_Input2225[[#This Row],[Energy Savings (kWh)]]*Value_Cus_IncentRate)</calculatedColumnFormula>
    </tableColumn>
    <tableColumn id="18" xr3:uid="{11500C76-9321-475C-BCD3-790B9AB37ABF}" name="Energy Savings (kWh)" dataDxfId="88" dataCellStyle="Locked Cell">
      <calculatedColumnFormula>IF(Table_Controls_Input2225[[#This Row],[Measure Name]]="", "", Table_Controls_Input2225[[#This Row],[Existing Energy Consumption (kWh/yr)]]-Table_Controls_Input2225[[#This Row],[Proposed Energy Consumption (kWh/yr)]])</calculatedColumnFormula>
    </tableColumn>
    <tableColumn id="20" xr3:uid="{F6E2BF1D-AC5C-4225-ABFC-D208E44B3F7D}" name="Demand Reduction (kW)" dataDxfId="87" dataCellStyle="Locked Cell">
      <calculatedColumnFormula>IF(Table_Controls_Input2225[[#This Row],[Measure Name]]="", "", Table_Controls_Input2225[[#This Row],[Existing Peak Demand (kW)]]-Table_Controls_Input2225[[#This Row],[Proposed Peak Demand (kW)]])</calculatedColumnFormula>
    </tableColumn>
    <tableColumn id="19" xr3:uid="{DB533714-0EC4-4CF3-9DE5-758A8704FF38}" name="Cost Savings" dataDxfId="86" dataCellStyle="Locked Cell">
      <calculatedColumnFormula>IFERROR(S5*Input_AvgkWhRate, "")</calculatedColumnFormula>
    </tableColumn>
    <tableColumn id="24" xr3:uid="{6C7E370C-68E0-4CD8-BB90-FCF98F7BDCE5}" name="Gross Measure Cost" dataDxfId="85" dataCellStyle="Locked Cell">
      <calculatedColumnFormula>IF(Table_Controls_Input2225[[#This Row],[Measure Name]]="", "", Table_Controls_Input2225[[#This Row],[Total Equipment Cost]]+Table_Controls_Input2225[[#This Row],[Total Labor Cost]])</calculatedColumnFormula>
    </tableColumn>
    <tableColumn id="21" xr3:uid="{1F307E57-E505-4110-B25E-289B6BD083DC}" name="Net Measure Cost" dataDxfId="84" dataCellStyle="Locked Cell">
      <calculatedColumnFormula>IFERROR(Table_Controls_Input2225[[#This Row],[Gross Measure Cost]]-Table_Controls_Input2225[[#This Row],[Estimated Incentive]], "")</calculatedColumnFormula>
    </tableColumn>
    <tableColumn id="22" xr3:uid="{8C03FB20-E424-4A3E-BD91-7777E2A66213}" name="Simple Payback (Years)" dataDxfId="83" dataCellStyle="Locked Cell">
      <calculatedColumnFormula>IFERROR($W5/$U5,"")</calculatedColumnFormula>
    </tableColumn>
  </tableColumns>
  <tableStyleInfo name="Lookup Tabl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3E3CD38-913D-4F45-A343-C44868F40E80}" name="Table16" displayName="Table16" ref="B19:D26" totalsRowCount="1" tableBorderDxfId="82" totalsRowBorderDxfId="81" headerRowCellStyle="Table Top 2">
  <autoFilter ref="B19:D25" xr:uid="{B3E3CD38-913D-4F45-A343-C44868F40E80}">
    <filterColumn colId="0" hiddenButton="1"/>
    <filterColumn colId="1" hiddenButton="1"/>
    <filterColumn colId="2" hiddenButton="1"/>
  </autoFilter>
  <tableColumns count="3">
    <tableColumn id="1" xr3:uid="{83B90E73-B8F8-4BE8-A365-A62775107D60}" name="Incentive Type" totalsRowLabel="Total" dataDxfId="80" totalsRowDxfId="79" dataCellStyle="Locked Cell Bold">
      <calculatedColumnFormula>Caps!B3</calculatedColumnFormula>
    </tableColumn>
    <tableColumn id="2" xr3:uid="{BB580220-364F-4342-A480-3A7F0A85971E}" name="Energy Savings (kWh)" totalsRowFunction="sum" dataDxfId="78" totalsRowDxfId="77" dataCellStyle="Locked Cell White"/>
    <tableColumn id="3" xr3:uid="{08D5337C-CE22-4B9F-9C93-9E240610E3CF}" name="kW Reduction" totalsRowFunction="sum" dataDxfId="76" totalsRowDxfId="75" dataCellStyle="Locked Cell White">
      <calculatedColumnFormula>Caps!E3</calculatedColumn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7C5417B-4AA8-4901-BDA8-B9F8286E5C8F}" name="Table15" displayName="Table15" ref="B29:G37" totalsRowCount="1" dataDxfId="74" tableBorderDxfId="73" totalsRowBorderDxfId="72" headerRowCellStyle="Table Top 2" dataCellStyle="Locked Cell White">
  <tableColumns count="6">
    <tableColumn id="1" xr3:uid="{D548A418-04DA-4B50-A62E-C275304AA5D5}" name="Incentive Type" totalsRowLabel="Total" dataDxfId="71" totalsRowDxfId="70" dataCellStyle="Locked Cell Bold"/>
    <tableColumn id="2" xr3:uid="{C84C9810-0655-48B1-BBAC-7F4CE667FA2F}" name="Cost Savings" totalsRowFunction="sum" dataDxfId="69" totalsRowDxfId="68" dataCellStyle="Currency">
      <calculatedColumnFormula>INDEX(Table_Measure_Caps[Cost Savings Total], MATCH(Table15[[#This Row],[Incentive Type]],Table_Measure_Caps[Measure Type], 0))</calculatedColumnFormula>
    </tableColumn>
    <tableColumn id="3" xr3:uid="{624D4AEF-BAE5-47BC-9E6E-DDA3C0A9F2D9}" name="Gross Project Cost" totalsRowFunction="sum" dataDxfId="67" totalsRowDxfId="66" dataCellStyle="Currency">
      <calculatedColumnFormula>INDEX(Table_Measure_Caps[Gross Measure Cost Total], MATCH(Table15[[#This Row],[Incentive Type]],Table_Measure_Caps[Measure Type], 0))</calculatedColumnFormula>
    </tableColumn>
    <tableColumn id="4" xr3:uid="{BAC78EBD-B290-44C2-80FD-EDD976754B88}" name="Estimated Incentive" totalsRowFunction="sum" dataDxfId="65" totalsRowDxfId="64" dataCellStyle="Currency">
      <calculatedColumnFormula>INDEX(Table_Measure_Caps[Capped Incentive], MATCH(Table15[[#This Row],[Incentive Type]], Table_Measure_Caps[Measure Type], 0))</calculatedColumnFormula>
    </tableColumn>
    <tableColumn id="7" xr3:uid="{313B6AB0-18D4-414B-8255-A4B0D4E313F6}" name="Net Project Cost" totalsRowFunction="sum" dataDxfId="63" totalsRowDxfId="62" dataCellStyle="Currency"/>
    <tableColumn id="8" xr3:uid="{0947E50A-946D-4F5D-8278-1B82EC35172D}" name="Simple Payback (Years)" totalsRowFunction="custom" dataDxfId="61" totalsRowDxfId="60" dataCellStyle="Locked Cell White">
      <calculatedColumnFormula>IFERROR(Table15[[#This Row],[Net Project Cost]]/Table15[[#This Row],[Cost Savings]],"")</calculatedColumnFormula>
      <totalsRowFormula>Table15[[#Totals],[Net Project Cost]]/Table15[[#Totals],[Cost Savings]]</totalsRow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Energy Smart Colors">
      <a:dk1>
        <a:sysClr val="windowText" lastClr="000000"/>
      </a:dk1>
      <a:lt1>
        <a:sysClr val="window" lastClr="FFFFFF"/>
      </a:lt1>
      <a:dk2>
        <a:srgbClr val="002D56"/>
      </a:dk2>
      <a:lt2>
        <a:srgbClr val="C0C0C0"/>
      </a:lt2>
      <a:accent1>
        <a:srgbClr val="002D56"/>
      </a:accent1>
      <a:accent2>
        <a:srgbClr val="8DC63F"/>
      </a:accent2>
      <a:accent3>
        <a:srgbClr val="006E51"/>
      </a:accent3>
      <a:accent4>
        <a:srgbClr val="007897"/>
      </a:accent4>
      <a:accent5>
        <a:srgbClr val="B41E83"/>
      </a:accent5>
      <a:accent6>
        <a:srgbClr val="DDDDDD"/>
      </a:accent6>
      <a:hlink>
        <a:srgbClr val="007897"/>
      </a:hlink>
      <a:folHlink>
        <a:srgbClr val="00789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116" dT="2023-06-29T19:36:56.89" personId="{A3E89FC8-9D46-4C6C-B92E-ADD4BB5C8EEA}" id="{8EF07D4B-37BF-4245-9CA3-94EB6DE9529C}">
    <text>SEER2</text>
  </threadedComment>
  <threadedComment ref="M121" dT="2023-06-29T19:40:23.46" personId="{A3E89FC8-9D46-4C6C-B92E-ADD4BB5C8EEA}" id="{62C74FEC-860C-4FD5-BBC1-61E30FA1D7C5}">
    <text>SEER2</text>
  </threadedComment>
  <threadedComment ref="N121" dT="2023-06-29T19:54:05.98" personId="{A3E89FC8-9D46-4C6C-B92E-ADD4BB5C8EEA}" id="{13CE2E3C-D381-46CB-B794-332D929AC969}">
    <text>HSPF2</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9.bin"/><Relationship Id="rId5" Type="http://schemas.openxmlformats.org/officeDocument/2006/relationships/comments" Target="../comments8.xml"/><Relationship Id="rId4"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0.bin"/><Relationship Id="rId6" Type="http://schemas.openxmlformats.org/officeDocument/2006/relationships/comments" Target="../comments9.xml"/><Relationship Id="rId5" Type="http://schemas.openxmlformats.org/officeDocument/2006/relationships/table" Target="../tables/table9.xml"/><Relationship Id="rId4" Type="http://schemas.openxmlformats.org/officeDocument/2006/relationships/table" Target="../tables/table8.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table" Target="../tables/table10.xml"/><Relationship Id="rId7"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energysmartnola.info/businesses/terms/"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microsoft.com/office/2019/04/relationships/namedSheetView" Target="../namedSheetViews/namedSheetView1.xml"/><Relationship Id="rId5" Type="http://schemas.openxmlformats.org/officeDocument/2006/relationships/comments" Target="../comments2.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5" Type="http://schemas.openxmlformats.org/officeDocument/2006/relationships/comments" Target="../comments5.xml"/><Relationship Id="rId4" Type="http://schemas.openxmlformats.org/officeDocument/2006/relationships/table" Target="../tables/table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openxmlformats.org/officeDocument/2006/relationships/comments" Target="../comments6.xml"/><Relationship Id="rId4" Type="http://schemas.openxmlformats.org/officeDocument/2006/relationships/table" Target="../tables/table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8.bin"/><Relationship Id="rId5" Type="http://schemas.openxmlformats.org/officeDocument/2006/relationships/comments" Target="../comments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B3A6-2D4B-4ADE-9471-DE1977CE6780}">
  <sheetPr>
    <tabColor theme="2"/>
  </sheetPr>
  <dimension ref="B1:E46"/>
  <sheetViews>
    <sheetView showGridLines="0" showRowColHeaders="0" tabSelected="1" workbookViewId="0">
      <selection activeCell="I23" sqref="I23"/>
    </sheetView>
  </sheetViews>
  <sheetFormatPr defaultRowHeight="12.75" x14ac:dyDescent="0.2"/>
  <cols>
    <col min="1" max="1" width="1.7109375" customWidth="1"/>
    <col min="2" max="2" width="14.140625" customWidth="1"/>
    <col min="3" max="3" width="39" customWidth="1"/>
    <col min="4" max="4" width="14.140625" customWidth="1"/>
    <col min="5" max="5" width="39" customWidth="1"/>
  </cols>
  <sheetData>
    <row r="1" spans="2:5" ht="42.75" customHeight="1" x14ac:dyDescent="0.2">
      <c r="B1" s="96" t="s">
        <v>542</v>
      </c>
      <c r="C1" s="97"/>
      <c r="D1" s="97"/>
      <c r="E1" s="97"/>
    </row>
    <row r="2" spans="2:5" ht="15" customHeight="1" x14ac:dyDescent="0.2">
      <c r="B2" s="144"/>
    </row>
    <row r="3" spans="2:5" ht="15" customHeight="1" x14ac:dyDescent="0.2">
      <c r="B3" s="144"/>
    </row>
    <row r="4" spans="2:5" ht="15" customHeight="1" x14ac:dyDescent="0.2">
      <c r="B4" s="144"/>
    </row>
    <row r="5" spans="2:5" s="4" customFormat="1" x14ac:dyDescent="0.2">
      <c r="D5"/>
      <c r="E5"/>
    </row>
    <row r="6" spans="2:5" ht="15.75" customHeight="1" x14ac:dyDescent="0.2">
      <c r="B6" s="253"/>
      <c r="C6" s="253"/>
      <c r="D6" s="253"/>
      <c r="E6" s="253"/>
    </row>
    <row r="7" spans="2:5" ht="66.599999999999994" customHeight="1" x14ac:dyDescent="0.2">
      <c r="B7" s="258" t="s">
        <v>543</v>
      </c>
      <c r="C7" s="258"/>
      <c r="D7" s="258"/>
      <c r="E7" s="258"/>
    </row>
    <row r="8" spans="2:5" ht="15.75" customHeight="1" x14ac:dyDescent="0.2">
      <c r="B8" s="254" t="s">
        <v>544</v>
      </c>
      <c r="C8" s="254"/>
      <c r="D8" s="254"/>
      <c r="E8" s="254"/>
    </row>
    <row r="9" spans="2:5" ht="33" customHeight="1" x14ac:dyDescent="0.2">
      <c r="B9" s="259" t="s">
        <v>566</v>
      </c>
      <c r="C9" s="260"/>
      <c r="D9" s="260"/>
      <c r="E9" s="261"/>
    </row>
    <row r="10" spans="2:5" ht="33" customHeight="1" x14ac:dyDescent="0.2">
      <c r="B10" s="262"/>
      <c r="C10" s="263"/>
      <c r="D10" s="263"/>
      <c r="E10" s="264"/>
    </row>
    <row r="11" spans="2:5" ht="33" customHeight="1" x14ac:dyDescent="0.2">
      <c r="B11" s="262"/>
      <c r="C11" s="263"/>
      <c r="D11" s="263"/>
      <c r="E11" s="264"/>
    </row>
    <row r="12" spans="2:5" ht="33" customHeight="1" x14ac:dyDescent="0.2">
      <c r="B12" s="265"/>
      <c r="C12" s="258"/>
      <c r="D12" s="258"/>
      <c r="E12" s="266"/>
    </row>
    <row r="13" spans="2:5" ht="12.75" customHeight="1" x14ac:dyDescent="0.2">
      <c r="B13" s="68"/>
      <c r="C13" s="68"/>
    </row>
    <row r="14" spans="2:5" ht="15.75" x14ac:dyDescent="0.2">
      <c r="B14" s="254" t="s">
        <v>547</v>
      </c>
      <c r="C14" s="254"/>
      <c r="D14" s="254"/>
      <c r="E14" s="254"/>
    </row>
    <row r="15" spans="2:5" ht="25.5" customHeight="1" x14ac:dyDescent="0.2">
      <c r="B15" s="244" t="s">
        <v>0</v>
      </c>
      <c r="C15" s="267" t="s">
        <v>545</v>
      </c>
      <c r="D15" s="268"/>
      <c r="E15" s="269"/>
    </row>
    <row r="16" spans="2:5" ht="25.5" customHeight="1" x14ac:dyDescent="0.2">
      <c r="B16" s="69" t="s">
        <v>1</v>
      </c>
      <c r="C16" s="270" t="s">
        <v>546</v>
      </c>
      <c r="D16" s="271"/>
      <c r="E16" s="272"/>
    </row>
    <row r="17" spans="2:5" ht="12.75" customHeight="1" x14ac:dyDescent="0.2"/>
    <row r="18" spans="2:5" ht="15.75" customHeight="1" x14ac:dyDescent="0.25">
      <c r="B18" s="255" t="s">
        <v>564</v>
      </c>
      <c r="C18" s="256"/>
      <c r="D18" s="256"/>
      <c r="E18" s="257"/>
    </row>
    <row r="19" spans="2:5" ht="25.5" customHeight="1" x14ac:dyDescent="0.2">
      <c r="B19" s="78" t="s">
        <v>548</v>
      </c>
      <c r="C19" s="273" t="s">
        <v>549</v>
      </c>
      <c r="D19" s="273"/>
      <c r="E19" s="273"/>
    </row>
    <row r="20" spans="2:5" ht="25.5" customHeight="1" x14ac:dyDescent="0.2">
      <c r="B20" s="79" t="s">
        <v>550</v>
      </c>
      <c r="C20" s="273" t="s">
        <v>555</v>
      </c>
      <c r="D20" s="273"/>
      <c r="E20" s="273"/>
    </row>
    <row r="21" spans="2:5" s="4" customFormat="1" ht="25.5" customHeight="1" x14ac:dyDescent="0.2">
      <c r="B21" s="79" t="s">
        <v>10</v>
      </c>
      <c r="C21" s="274" t="s">
        <v>556</v>
      </c>
      <c r="D21" s="275"/>
      <c r="E21" s="276"/>
    </row>
    <row r="22" spans="2:5" ht="25.5" customHeight="1" x14ac:dyDescent="0.2">
      <c r="B22" s="80" t="s">
        <v>2</v>
      </c>
      <c r="C22" s="273" t="s">
        <v>557</v>
      </c>
      <c r="D22" s="273"/>
      <c r="E22" s="273"/>
    </row>
    <row r="23" spans="2:5" ht="25.5" customHeight="1" x14ac:dyDescent="0.2">
      <c r="B23" s="80" t="s">
        <v>3</v>
      </c>
      <c r="C23" s="273" t="s">
        <v>558</v>
      </c>
      <c r="D23" s="273"/>
      <c r="E23" s="273"/>
    </row>
    <row r="24" spans="2:5" s="4" customFormat="1" ht="25.5" customHeight="1" x14ac:dyDescent="0.2">
      <c r="B24" s="80" t="s">
        <v>4</v>
      </c>
      <c r="C24" s="273" t="s">
        <v>559</v>
      </c>
      <c r="D24" s="273"/>
      <c r="E24" s="273"/>
    </row>
    <row r="25" spans="2:5" ht="25.5" customHeight="1" x14ac:dyDescent="0.2">
      <c r="B25" s="80" t="s">
        <v>5</v>
      </c>
      <c r="C25" s="273" t="s">
        <v>560</v>
      </c>
      <c r="D25" s="273"/>
      <c r="E25" s="273"/>
    </row>
    <row r="26" spans="2:5" ht="25.5" customHeight="1" x14ac:dyDescent="0.2">
      <c r="B26" s="80" t="s">
        <v>551</v>
      </c>
      <c r="C26" s="273" t="s">
        <v>561</v>
      </c>
      <c r="D26" s="273"/>
      <c r="E26" s="273"/>
    </row>
    <row r="27" spans="2:5" ht="25.5" customHeight="1" x14ac:dyDescent="0.2">
      <c r="B27" s="80" t="s">
        <v>6</v>
      </c>
      <c r="C27" s="273" t="s">
        <v>562</v>
      </c>
      <c r="D27" s="273"/>
      <c r="E27" s="273"/>
    </row>
    <row r="28" spans="2:5" ht="25.5" customHeight="1" x14ac:dyDescent="0.2">
      <c r="B28" s="80" t="s">
        <v>7</v>
      </c>
      <c r="C28" s="273" t="s">
        <v>563</v>
      </c>
      <c r="D28" s="273"/>
      <c r="E28" s="273"/>
    </row>
    <row r="29" spans="2:5" ht="25.5" customHeight="1" x14ac:dyDescent="0.2">
      <c r="B29" s="78" t="s">
        <v>8</v>
      </c>
      <c r="C29" s="273" t="s">
        <v>9</v>
      </c>
      <c r="D29" s="273"/>
      <c r="E29" s="273"/>
    </row>
    <row r="30" spans="2:5" ht="12.75" customHeight="1" x14ac:dyDescent="0.2"/>
    <row r="31" spans="2:5" ht="15.75" customHeight="1" x14ac:dyDescent="0.25">
      <c r="B31" s="255" t="s">
        <v>565</v>
      </c>
      <c r="C31" s="256"/>
      <c r="D31" s="256"/>
      <c r="E31" s="257"/>
    </row>
    <row r="32" spans="2:5" ht="45" customHeight="1" x14ac:dyDescent="0.2">
      <c r="B32" s="252" t="s">
        <v>567</v>
      </c>
      <c r="C32" s="252"/>
      <c r="D32" s="252"/>
      <c r="E32" s="252"/>
    </row>
    <row r="33" spans="2:5" ht="80.099999999999994" customHeight="1" x14ac:dyDescent="0.2">
      <c r="B33" s="252" t="s">
        <v>568</v>
      </c>
      <c r="C33" s="252"/>
      <c r="D33" s="252"/>
      <c r="E33" s="252"/>
    </row>
    <row r="34" spans="2:5" ht="42" customHeight="1" x14ac:dyDescent="0.2">
      <c r="B34" s="252" t="s">
        <v>569</v>
      </c>
      <c r="C34" s="252"/>
      <c r="D34" s="252"/>
      <c r="E34" s="252"/>
    </row>
    <row r="35" spans="2:5" ht="42" customHeight="1" x14ac:dyDescent="0.2"/>
    <row r="36" spans="2:5" ht="51" customHeight="1" x14ac:dyDescent="0.2">
      <c r="B36" t="s">
        <v>11</v>
      </c>
    </row>
    <row r="37" spans="2:5" x14ac:dyDescent="0.2">
      <c r="B37" t="str">
        <f>Value_Application_Version</f>
        <v>Version 3.1</v>
      </c>
    </row>
    <row r="39" spans="2:5" s="4" customFormat="1" ht="108.75" customHeight="1" x14ac:dyDescent="0.2">
      <c r="B39"/>
      <c r="C39"/>
      <c r="D39"/>
      <c r="E39"/>
    </row>
    <row r="40" spans="2:5" ht="42.75" customHeight="1" x14ac:dyDescent="0.2"/>
    <row r="41" spans="2:5" ht="31.5" customHeight="1" x14ac:dyDescent="0.2"/>
    <row r="42" spans="2:5" ht="42" customHeight="1" x14ac:dyDescent="0.2"/>
    <row r="43" spans="2:5" ht="30" customHeight="1" x14ac:dyDescent="0.2"/>
    <row r="44" spans="2:5" ht="132.75" customHeight="1" x14ac:dyDescent="0.2"/>
    <row r="45" spans="2:5" ht="31.5" customHeight="1" x14ac:dyDescent="0.2"/>
    <row r="46" spans="2:5" ht="42" customHeight="1" x14ac:dyDescent="0.2"/>
  </sheetData>
  <sheetProtection algorithmName="SHA-512" hashValue="qS+i1b+G1mOvkm3NFNKU9g27n7AjNCQVyMxaBiDNIvuHkyIU+Q86UljVDxK1dg8wzJAIjMV8SVsYF5yXQ7CUtg==" saltValue="vsq60oHzkLjdxZY39OSX6g==" spinCount="100000" sheet="1" objects="1" scenarios="1"/>
  <mergeCells count="23">
    <mergeCell ref="C28:E28"/>
    <mergeCell ref="C25:E25"/>
    <mergeCell ref="C21:E21"/>
    <mergeCell ref="C22:E22"/>
    <mergeCell ref="C23:E23"/>
    <mergeCell ref="C24:E24"/>
    <mergeCell ref="C27:E27"/>
    <mergeCell ref="B32:E32"/>
    <mergeCell ref="B33:E33"/>
    <mergeCell ref="B34:E34"/>
    <mergeCell ref="B6:E6"/>
    <mergeCell ref="B8:E8"/>
    <mergeCell ref="B14:E14"/>
    <mergeCell ref="B18:E18"/>
    <mergeCell ref="B7:E7"/>
    <mergeCell ref="B9:E12"/>
    <mergeCell ref="C15:E15"/>
    <mergeCell ref="C16:E16"/>
    <mergeCell ref="C20:E20"/>
    <mergeCell ref="B31:E31"/>
    <mergeCell ref="C26:E26"/>
    <mergeCell ref="C29:E29"/>
    <mergeCell ref="C19:E19"/>
  </mergeCells>
  <pageMargins left="0.25" right="0.25" top="0.75" bottom="0.75" header="0.3" footer="0.3"/>
  <pageSetup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C92F2-98D0-43A9-8F9A-8F39AC63CE9C}">
  <sheetPr>
    <tabColor theme="4"/>
  </sheetPr>
  <dimension ref="A1:AT180"/>
  <sheetViews>
    <sheetView showGridLines="0" showRowColHeaders="0" workbookViewId="0">
      <selection activeCell="D5" sqref="D5"/>
    </sheetView>
  </sheetViews>
  <sheetFormatPr defaultColWidth="9.140625" defaultRowHeight="12.75" customHeight="1" x14ac:dyDescent="0.2"/>
  <cols>
    <col min="1" max="1" width="2.140625" customWidth="1"/>
    <col min="2" max="2" width="5.28515625" customWidth="1"/>
    <col min="3" max="3" width="9" customWidth="1"/>
    <col min="4" max="4" width="17" customWidth="1"/>
    <col min="5" max="5" width="28.7109375" customWidth="1"/>
    <col min="6" max="6" width="15.85546875" customWidth="1"/>
    <col min="7" max="7" width="29.85546875" customWidth="1"/>
    <col min="8" max="8" width="21.28515625" customWidth="1"/>
    <col min="9" max="9" width="20" customWidth="1"/>
    <col min="10" max="10" width="41.42578125" customWidth="1"/>
    <col min="11" max="12" width="13.42578125" customWidth="1"/>
    <col min="13" max="13" width="41" customWidth="1"/>
    <col min="14" max="15" width="13.42578125" customWidth="1"/>
    <col min="16" max="16" width="12.42578125" customWidth="1"/>
    <col min="17" max="17" width="9.85546875" customWidth="1"/>
    <col min="18" max="18" width="11" customWidth="1"/>
    <col min="19" max="19" width="12" customWidth="1"/>
    <col min="20" max="20" width="11.85546875" customWidth="1"/>
    <col min="21" max="21" width="10.28515625" customWidth="1"/>
    <col min="22" max="22" width="10.85546875" bestFit="1" customWidth="1"/>
    <col min="23" max="23" width="13.42578125" customWidth="1"/>
    <col min="24" max="24" width="9.5703125" customWidth="1"/>
  </cols>
  <sheetData>
    <row r="1" spans="1:46" ht="36.75" customHeight="1" x14ac:dyDescent="0.2">
      <c r="B1" s="253" t="s">
        <v>129</v>
      </c>
      <c r="C1" s="253"/>
      <c r="D1" s="253"/>
      <c r="E1" s="253"/>
      <c r="F1" s="253"/>
      <c r="G1" s="253"/>
      <c r="H1" s="253"/>
      <c r="I1" s="253"/>
      <c r="J1" s="253"/>
      <c r="K1" s="253"/>
      <c r="L1" s="253"/>
      <c r="M1" s="253"/>
      <c r="N1" s="253"/>
      <c r="O1" s="253"/>
      <c r="P1" s="253"/>
      <c r="Q1" s="253"/>
      <c r="R1" s="253"/>
      <c r="S1" s="253"/>
      <c r="T1" s="253"/>
      <c r="U1" s="253"/>
      <c r="V1" s="151"/>
      <c r="W1" s="151"/>
      <c r="X1" s="151"/>
    </row>
    <row r="2" spans="1:46" x14ac:dyDescent="0.2">
      <c r="R2" s="84" t="s">
        <v>76</v>
      </c>
    </row>
    <row r="3" spans="1:46" x14ac:dyDescent="0.2">
      <c r="A3" s="4"/>
      <c r="J3" s="285" t="s">
        <v>130</v>
      </c>
      <c r="K3" s="285"/>
      <c r="L3" s="285"/>
      <c r="M3" s="281" t="s">
        <v>75</v>
      </c>
      <c r="N3" s="281"/>
      <c r="O3" s="281"/>
      <c r="P3" s="281"/>
      <c r="Q3" s="281"/>
      <c r="R3" s="145">
        <f>SUM(Table_Controls_Input2225[Estimated Incentive])</f>
        <v>0</v>
      </c>
      <c r="S3" s="83">
        <f>SUM(Table_Controls_Input2225[Energy Savings (kWh)])</f>
        <v>0</v>
      </c>
      <c r="T3" s="82">
        <f>SUM(Table_Controls_Input2225[Demand Reduction (kW)])</f>
        <v>0</v>
      </c>
      <c r="U3" s="146">
        <f>SUM(Table_Controls_Input2225[Cost Savings])</f>
        <v>0</v>
      </c>
      <c r="V3" s="146">
        <f>SUM(Table_Controls_Input2225[Gross Measure Cost])</f>
        <v>0</v>
      </c>
      <c r="W3" s="146">
        <f>SUM(Table_Controls_Input2225[Net Measure Cost])</f>
        <v>0</v>
      </c>
      <c r="X3" s="83" t="str">
        <f>IFERROR(W3/U3,"")</f>
        <v/>
      </c>
      <c r="Y3" s="4"/>
      <c r="Z3" s="4"/>
      <c r="AA3" s="4"/>
      <c r="AB3" s="4"/>
      <c r="AC3" s="4"/>
      <c r="AD3" s="4"/>
      <c r="AE3" s="4"/>
      <c r="AF3" s="4"/>
      <c r="AG3" s="4"/>
      <c r="AH3" s="4"/>
      <c r="AI3" s="4"/>
      <c r="AJ3" s="4"/>
      <c r="AK3" s="4"/>
      <c r="AL3" s="4"/>
      <c r="AM3" s="4"/>
      <c r="AN3" s="4"/>
      <c r="AO3" s="4"/>
      <c r="AP3" s="4"/>
      <c r="AQ3" s="4"/>
      <c r="AR3" s="4"/>
      <c r="AS3" s="4"/>
      <c r="AT3" s="4"/>
    </row>
    <row r="4" spans="1:46" ht="51" x14ac:dyDescent="0.2">
      <c r="A4" s="16"/>
      <c r="B4" s="62" t="s">
        <v>77</v>
      </c>
      <c r="C4" s="62" t="s">
        <v>78</v>
      </c>
      <c r="D4" s="66" t="s">
        <v>79</v>
      </c>
      <c r="E4" s="63" t="s">
        <v>131</v>
      </c>
      <c r="F4" s="63" t="s">
        <v>132</v>
      </c>
      <c r="G4" s="63" t="s">
        <v>133</v>
      </c>
      <c r="H4" s="63" t="s">
        <v>134</v>
      </c>
      <c r="I4" s="63" t="s">
        <v>135</v>
      </c>
      <c r="J4" s="54" t="s">
        <v>136</v>
      </c>
      <c r="K4" s="54" t="s">
        <v>137</v>
      </c>
      <c r="L4" s="54" t="s">
        <v>138</v>
      </c>
      <c r="M4" s="53" t="s">
        <v>139</v>
      </c>
      <c r="N4" s="53" t="s">
        <v>140</v>
      </c>
      <c r="O4" s="53" t="s">
        <v>141</v>
      </c>
      <c r="P4" s="65" t="s">
        <v>86</v>
      </c>
      <c r="Q4" s="65" t="s">
        <v>87</v>
      </c>
      <c r="R4" s="64" t="s">
        <v>89</v>
      </c>
      <c r="S4" s="64" t="s">
        <v>90</v>
      </c>
      <c r="T4" s="64" t="s">
        <v>91</v>
      </c>
      <c r="U4" s="64" t="s">
        <v>92</v>
      </c>
      <c r="V4" s="64" t="s">
        <v>93</v>
      </c>
      <c r="W4" s="64" t="s">
        <v>94</v>
      </c>
      <c r="X4" s="64" t="s">
        <v>95</v>
      </c>
      <c r="Y4" s="16"/>
      <c r="Z4" s="16"/>
      <c r="AA4" s="16"/>
      <c r="AB4" s="16"/>
      <c r="AC4" s="16"/>
      <c r="AD4" s="16"/>
      <c r="AE4" s="16"/>
      <c r="AF4" s="16"/>
      <c r="AG4" s="16"/>
      <c r="AH4" s="16"/>
      <c r="AI4" s="16"/>
      <c r="AJ4" s="16"/>
      <c r="AK4" s="16"/>
      <c r="AL4" s="16"/>
      <c r="AM4" s="16"/>
      <c r="AN4" s="16"/>
      <c r="AO4" s="16"/>
      <c r="AP4" s="16"/>
      <c r="AQ4" s="16"/>
      <c r="AR4" s="16"/>
      <c r="AS4" s="16"/>
      <c r="AT4" s="16"/>
    </row>
    <row r="5" spans="1:46" x14ac:dyDescent="0.2">
      <c r="A5" s="3"/>
      <c r="B5" s="71">
        <v>1</v>
      </c>
      <c r="C5" s="71" t="str">
        <f>IFERROR(INDEX(Table_Prescript_Meas[Measure Number], MATCH(Table_Controls_Input2225[[#This Row],[Measure Classification]], Table_Prescript_Meas[Measure Description], 0)),"")</f>
        <v/>
      </c>
      <c r="D5" s="61"/>
      <c r="E5" s="49"/>
      <c r="F5" s="60"/>
      <c r="G5" s="60"/>
      <c r="H5" s="60"/>
      <c r="I5" s="60"/>
      <c r="J5" s="60"/>
      <c r="K5" s="155"/>
      <c r="L5" s="156"/>
      <c r="M5" s="60"/>
      <c r="N5" s="155"/>
      <c r="O5" s="156"/>
      <c r="P5" s="157"/>
      <c r="Q5" s="157"/>
      <c r="R5" s="74" t="str">
        <f>IF(Table_Controls_Input2225[[#This Row],[Measure Name]]="","", Table_Controls_Input2225[[#This Row],[Energy Savings (kWh)]]*Value_Cus_IncentRate)</f>
        <v/>
      </c>
      <c r="S5" s="75" t="str">
        <f>IF(Table_Controls_Input2225[[#This Row],[Measure Name]]="", "", Table_Controls_Input2225[[#This Row],[Existing Energy Consumption (kWh/yr)]]-Table_Controls_Input2225[[#This Row],[Proposed Energy Consumption (kWh/yr)]])</f>
        <v/>
      </c>
      <c r="T5" s="81" t="str">
        <f>IF(Table_Controls_Input2225[[#This Row],[Measure Name]]="", "", Table_Controls_Input2225[[#This Row],[Existing Peak Demand (kW)]]-Table_Controls_Input2225[[#This Row],[Proposed Peak Demand (kW)]])</f>
        <v/>
      </c>
      <c r="U5" s="74" t="str">
        <f t="shared" ref="U5:U14" si="0">IFERROR(S5*Input_AvgkWhRate, "")</f>
        <v/>
      </c>
      <c r="V5" s="74" t="str">
        <f>IF(Table_Controls_Input2225[[#This Row],[Measure Name]]="", "", Table_Controls_Input2225[[#This Row],[Total Equipment Cost]]+Table_Controls_Input2225[[#This Row],[Total Labor Cost]])</f>
        <v/>
      </c>
      <c r="W5" s="74" t="str">
        <f>IFERROR(Table_Controls_Input2225[[#This Row],[Gross Measure Cost]]-Table_Controls_Input2225[[#This Row],[Estimated Incentive]], "")</f>
        <v/>
      </c>
      <c r="X5" s="75" t="str">
        <f t="shared" ref="X5:X24" si="1">IFERROR($W5/$U5,"")</f>
        <v/>
      </c>
      <c r="Y5" s="3"/>
      <c r="Z5" s="3"/>
      <c r="AA5" s="3"/>
      <c r="AB5" s="3"/>
      <c r="AC5" s="3"/>
      <c r="AD5" s="3"/>
      <c r="AE5" s="3"/>
      <c r="AF5" s="3"/>
      <c r="AG5" s="3"/>
      <c r="AH5" s="3"/>
      <c r="AI5" s="3"/>
      <c r="AJ5" s="3"/>
      <c r="AK5" s="3"/>
      <c r="AL5" s="3"/>
      <c r="AM5" s="3"/>
      <c r="AN5" s="3"/>
      <c r="AO5" s="3"/>
      <c r="AP5" s="3"/>
      <c r="AQ5" s="3"/>
      <c r="AR5" s="3"/>
      <c r="AS5" s="3"/>
      <c r="AT5" s="3"/>
    </row>
    <row r="6" spans="1:46" x14ac:dyDescent="0.2">
      <c r="A6" s="3"/>
      <c r="B6" s="71">
        <v>2</v>
      </c>
      <c r="C6" s="71" t="str">
        <f>IFERROR(INDEX(Table_Prescript_Meas[Measure Number], MATCH(Table_Controls_Input2225[[#This Row],[Measure Classification]], Table_Prescript_Meas[Measure Description], 0)),"")</f>
        <v/>
      </c>
      <c r="D6" s="61"/>
      <c r="E6" s="49"/>
      <c r="F6" s="60"/>
      <c r="G6" s="60"/>
      <c r="H6" s="60"/>
      <c r="I6" s="60"/>
      <c r="J6" s="60"/>
      <c r="K6" s="155"/>
      <c r="L6" s="156"/>
      <c r="M6" s="60"/>
      <c r="N6" s="155"/>
      <c r="O6" s="156"/>
      <c r="P6" s="157"/>
      <c r="Q6" s="157"/>
      <c r="R6" s="74" t="str">
        <f>IF(Table_Controls_Input2225[[#This Row],[Measure Name]]="","", Table_Controls_Input2225[[#This Row],[Energy Savings (kWh)]]*Value_Cus_IncentRate)</f>
        <v/>
      </c>
      <c r="S6" s="75" t="str">
        <f>IF(Table_Controls_Input2225[[#This Row],[Measure Name]]="", "", Table_Controls_Input2225[[#This Row],[Existing Energy Consumption (kWh/yr)]]-Table_Controls_Input2225[[#This Row],[Proposed Energy Consumption (kWh/yr)]])</f>
        <v/>
      </c>
      <c r="T6" s="81" t="str">
        <f>IF(Table_Controls_Input2225[[#This Row],[Measure Name]]="", "", Table_Controls_Input2225[[#This Row],[Existing Peak Demand (kW)]]-Table_Controls_Input2225[[#This Row],[Proposed Peak Demand (kW)]])</f>
        <v/>
      </c>
      <c r="U6" s="74" t="str">
        <f t="shared" si="0"/>
        <v/>
      </c>
      <c r="V6" s="74" t="str">
        <f>IF(Table_Controls_Input2225[[#This Row],[Measure Name]]="", "", Table_Controls_Input2225[[#This Row],[Total Equipment Cost]]+Table_Controls_Input2225[[#This Row],[Total Labor Cost]])</f>
        <v/>
      </c>
      <c r="W6" s="74" t="str">
        <f>IFERROR(Table_Controls_Input2225[[#This Row],[Gross Measure Cost]]-Table_Controls_Input2225[[#This Row],[Estimated Incentive]], "")</f>
        <v/>
      </c>
      <c r="X6" s="75" t="str">
        <f t="shared" si="1"/>
        <v/>
      </c>
      <c r="Y6" s="3"/>
      <c r="Z6" s="3"/>
      <c r="AA6" s="3"/>
      <c r="AB6" s="3"/>
      <c r="AC6" s="3"/>
      <c r="AD6" s="3"/>
      <c r="AE6" s="3"/>
      <c r="AF6" s="3"/>
      <c r="AG6" s="3"/>
      <c r="AH6" s="3"/>
      <c r="AI6" s="3"/>
      <c r="AJ6" s="3"/>
      <c r="AK6" s="3"/>
      <c r="AL6" s="3"/>
      <c r="AM6" s="3"/>
      <c r="AN6" s="3"/>
      <c r="AO6" s="3"/>
      <c r="AP6" s="3"/>
      <c r="AQ6" s="3"/>
      <c r="AR6" s="3"/>
      <c r="AS6" s="3"/>
      <c r="AT6" s="3"/>
    </row>
    <row r="7" spans="1:46" x14ac:dyDescent="0.2">
      <c r="A7" s="3"/>
      <c r="B7" s="71">
        <v>3</v>
      </c>
      <c r="C7" s="71" t="str">
        <f>IFERROR(INDEX(Table_Prescript_Meas[Measure Number], MATCH(Table_Controls_Input2225[[#This Row],[Measure Classification]], Table_Prescript_Meas[Measure Description], 0)),"")</f>
        <v/>
      </c>
      <c r="D7" s="61"/>
      <c r="E7" s="49"/>
      <c r="F7" s="60"/>
      <c r="G7" s="60"/>
      <c r="H7" s="60"/>
      <c r="I7" s="60"/>
      <c r="J7" s="60"/>
      <c r="K7" s="155"/>
      <c r="L7" s="156"/>
      <c r="M7" s="60"/>
      <c r="N7" s="155"/>
      <c r="O7" s="156"/>
      <c r="P7" s="157"/>
      <c r="Q7" s="157"/>
      <c r="R7" s="74" t="str">
        <f>IF(Table_Controls_Input2225[[#This Row],[Measure Name]]="","", Table_Controls_Input2225[[#This Row],[Energy Savings (kWh)]]*Value_Cus_IncentRate)</f>
        <v/>
      </c>
      <c r="S7" s="75" t="str">
        <f>IF(Table_Controls_Input2225[[#This Row],[Measure Name]]="", "", Table_Controls_Input2225[[#This Row],[Existing Energy Consumption (kWh/yr)]]-Table_Controls_Input2225[[#This Row],[Proposed Energy Consumption (kWh/yr)]])</f>
        <v/>
      </c>
      <c r="T7" s="81" t="str">
        <f>IF(Table_Controls_Input2225[[#This Row],[Measure Name]]="", "", Table_Controls_Input2225[[#This Row],[Existing Peak Demand (kW)]]-Table_Controls_Input2225[[#This Row],[Proposed Peak Demand (kW)]])</f>
        <v/>
      </c>
      <c r="U7" s="74" t="str">
        <f t="shared" si="0"/>
        <v/>
      </c>
      <c r="V7" s="74" t="str">
        <f>IF(Table_Controls_Input2225[[#This Row],[Measure Name]]="", "", Table_Controls_Input2225[[#This Row],[Total Equipment Cost]]+Table_Controls_Input2225[[#This Row],[Total Labor Cost]])</f>
        <v/>
      </c>
      <c r="W7" s="74" t="str">
        <f>IFERROR(Table_Controls_Input2225[[#This Row],[Gross Measure Cost]]-Table_Controls_Input2225[[#This Row],[Estimated Incentive]], "")</f>
        <v/>
      </c>
      <c r="X7" s="75" t="str">
        <f t="shared" si="1"/>
        <v/>
      </c>
      <c r="Y7" s="3"/>
      <c r="Z7" s="3"/>
      <c r="AA7" s="3"/>
      <c r="AB7" s="3"/>
      <c r="AC7" s="3"/>
      <c r="AD7" s="3"/>
      <c r="AE7" s="3"/>
      <c r="AF7" s="3"/>
      <c r="AG7" s="3"/>
      <c r="AH7" s="3"/>
      <c r="AI7" s="3"/>
      <c r="AJ7" s="3"/>
      <c r="AK7" s="3"/>
      <c r="AL7" s="3"/>
      <c r="AM7" s="3"/>
      <c r="AN7" s="3"/>
      <c r="AO7" s="3"/>
      <c r="AP7" s="3"/>
      <c r="AQ7" s="3"/>
      <c r="AR7" s="3"/>
      <c r="AS7" s="3"/>
      <c r="AT7" s="3"/>
    </row>
    <row r="8" spans="1:46" x14ac:dyDescent="0.2">
      <c r="A8" s="3"/>
      <c r="B8" s="71">
        <v>4</v>
      </c>
      <c r="C8" s="71" t="str">
        <f>IFERROR(INDEX(Table_Prescript_Meas[Measure Number], MATCH(Table_Controls_Input2225[[#This Row],[Measure Classification]], Table_Prescript_Meas[Measure Description], 0)),"")</f>
        <v/>
      </c>
      <c r="D8" s="61"/>
      <c r="E8" s="49"/>
      <c r="F8" s="60"/>
      <c r="G8" s="60"/>
      <c r="H8" s="60"/>
      <c r="I8" s="60"/>
      <c r="J8" s="60"/>
      <c r="K8" s="155"/>
      <c r="L8" s="156"/>
      <c r="M8" s="60"/>
      <c r="N8" s="155"/>
      <c r="O8" s="156"/>
      <c r="P8" s="157"/>
      <c r="Q8" s="157"/>
      <c r="R8" s="74" t="str">
        <f>IF(Table_Controls_Input2225[[#This Row],[Measure Name]]="","", Table_Controls_Input2225[[#This Row],[Energy Savings (kWh)]]*Value_Cus_IncentRate)</f>
        <v/>
      </c>
      <c r="S8" s="75" t="str">
        <f>IF(Table_Controls_Input2225[[#This Row],[Measure Name]]="", "", Table_Controls_Input2225[[#This Row],[Existing Energy Consumption (kWh/yr)]]-Table_Controls_Input2225[[#This Row],[Proposed Energy Consumption (kWh/yr)]])</f>
        <v/>
      </c>
      <c r="T8" s="81" t="str">
        <f>IF(Table_Controls_Input2225[[#This Row],[Measure Name]]="", "", Table_Controls_Input2225[[#This Row],[Existing Peak Demand (kW)]]-Table_Controls_Input2225[[#This Row],[Proposed Peak Demand (kW)]])</f>
        <v/>
      </c>
      <c r="U8" s="74" t="str">
        <f t="shared" si="0"/>
        <v/>
      </c>
      <c r="V8" s="74" t="str">
        <f>IF(Table_Controls_Input2225[[#This Row],[Measure Name]]="", "", Table_Controls_Input2225[[#This Row],[Total Equipment Cost]]+Table_Controls_Input2225[[#This Row],[Total Labor Cost]])</f>
        <v/>
      </c>
      <c r="W8" s="74" t="str">
        <f>IFERROR(Table_Controls_Input2225[[#This Row],[Gross Measure Cost]]-Table_Controls_Input2225[[#This Row],[Estimated Incentive]], "")</f>
        <v/>
      </c>
      <c r="X8" s="75" t="str">
        <f t="shared" si="1"/>
        <v/>
      </c>
      <c r="Y8" s="3"/>
      <c r="Z8" s="3"/>
      <c r="AA8" s="3"/>
      <c r="AB8" s="3"/>
      <c r="AC8" s="3"/>
      <c r="AD8" s="3"/>
      <c r="AE8" s="3"/>
      <c r="AF8" s="3"/>
      <c r="AG8" s="3"/>
      <c r="AH8" s="3"/>
      <c r="AI8" s="3"/>
      <c r="AJ8" s="3"/>
      <c r="AK8" s="3"/>
      <c r="AL8" s="3"/>
      <c r="AM8" s="3"/>
      <c r="AN8" s="3"/>
      <c r="AO8" s="3"/>
      <c r="AP8" s="3"/>
      <c r="AQ8" s="3"/>
      <c r="AR8" s="3"/>
      <c r="AS8" s="3"/>
      <c r="AT8" s="3"/>
    </row>
    <row r="9" spans="1:46" x14ac:dyDescent="0.2">
      <c r="A9" s="3"/>
      <c r="B9" s="71">
        <v>5</v>
      </c>
      <c r="C9" s="71" t="str">
        <f>IFERROR(INDEX(Table_Prescript_Meas[Measure Number], MATCH(Table_Controls_Input2225[[#This Row],[Measure Classification]], Table_Prescript_Meas[Measure Description], 0)),"")</f>
        <v/>
      </c>
      <c r="D9" s="61"/>
      <c r="E9" s="49"/>
      <c r="F9" s="60"/>
      <c r="G9" s="60"/>
      <c r="H9" s="60"/>
      <c r="I9" s="60"/>
      <c r="J9" s="60"/>
      <c r="K9" s="155"/>
      <c r="L9" s="156"/>
      <c r="M9" s="60"/>
      <c r="N9" s="155"/>
      <c r="O9" s="156"/>
      <c r="P9" s="157"/>
      <c r="Q9" s="157"/>
      <c r="R9" s="74" t="str">
        <f>IF(Table_Controls_Input2225[[#This Row],[Measure Name]]="","", Table_Controls_Input2225[[#This Row],[Energy Savings (kWh)]]*Value_Cus_IncentRate)</f>
        <v/>
      </c>
      <c r="S9" s="75" t="str">
        <f>IF(Table_Controls_Input2225[[#This Row],[Measure Name]]="", "", Table_Controls_Input2225[[#This Row],[Existing Energy Consumption (kWh/yr)]]-Table_Controls_Input2225[[#This Row],[Proposed Energy Consumption (kWh/yr)]])</f>
        <v/>
      </c>
      <c r="T9" s="81" t="str">
        <f>IF(Table_Controls_Input2225[[#This Row],[Measure Name]]="", "", Table_Controls_Input2225[[#This Row],[Existing Peak Demand (kW)]]-Table_Controls_Input2225[[#This Row],[Proposed Peak Demand (kW)]])</f>
        <v/>
      </c>
      <c r="U9" s="74" t="str">
        <f t="shared" si="0"/>
        <v/>
      </c>
      <c r="V9" s="74" t="str">
        <f>IF(Table_Controls_Input2225[[#This Row],[Measure Name]]="", "", Table_Controls_Input2225[[#This Row],[Total Equipment Cost]]+Table_Controls_Input2225[[#This Row],[Total Labor Cost]])</f>
        <v/>
      </c>
      <c r="W9" s="74" t="str">
        <f>IFERROR(Table_Controls_Input2225[[#This Row],[Gross Measure Cost]]-Table_Controls_Input2225[[#This Row],[Estimated Incentive]], "")</f>
        <v/>
      </c>
      <c r="X9" s="75" t="str">
        <f t="shared" si="1"/>
        <v/>
      </c>
      <c r="Y9" s="3"/>
      <c r="Z9" s="3"/>
      <c r="AA9" s="3"/>
      <c r="AB9" s="3"/>
      <c r="AC9" s="3"/>
      <c r="AD9" s="3"/>
      <c r="AE9" s="3"/>
      <c r="AF9" s="3"/>
      <c r="AG9" s="3"/>
      <c r="AH9" s="3"/>
      <c r="AI9" s="3"/>
      <c r="AJ9" s="3"/>
      <c r="AK9" s="3"/>
      <c r="AL9" s="3"/>
      <c r="AM9" s="3"/>
      <c r="AN9" s="3"/>
      <c r="AO9" s="3"/>
      <c r="AP9" s="3"/>
      <c r="AQ9" s="3"/>
      <c r="AR9" s="3"/>
      <c r="AS9" s="3"/>
      <c r="AT9" s="3"/>
    </row>
    <row r="10" spans="1:46" x14ac:dyDescent="0.2">
      <c r="A10" s="3"/>
      <c r="B10" s="71">
        <v>6</v>
      </c>
      <c r="C10" s="71" t="str">
        <f>IFERROR(INDEX(Table_Prescript_Meas[Measure Number], MATCH(Table_Controls_Input2225[[#This Row],[Measure Classification]], Table_Prescript_Meas[Measure Description], 0)),"")</f>
        <v/>
      </c>
      <c r="D10" s="61"/>
      <c r="E10" s="49"/>
      <c r="F10" s="60"/>
      <c r="G10" s="60"/>
      <c r="H10" s="60"/>
      <c r="I10" s="60"/>
      <c r="J10" s="60"/>
      <c r="K10" s="155"/>
      <c r="L10" s="156"/>
      <c r="M10" s="60"/>
      <c r="N10" s="155"/>
      <c r="O10" s="156"/>
      <c r="P10" s="157"/>
      <c r="Q10" s="157"/>
      <c r="R10" s="74" t="str">
        <f>IF(Table_Controls_Input2225[[#This Row],[Measure Name]]="","", Table_Controls_Input2225[[#This Row],[Energy Savings (kWh)]]*Value_Cus_IncentRate)</f>
        <v/>
      </c>
      <c r="S10" s="75" t="str">
        <f>IF(Table_Controls_Input2225[[#This Row],[Measure Name]]="", "", Table_Controls_Input2225[[#This Row],[Existing Energy Consumption (kWh/yr)]]-Table_Controls_Input2225[[#This Row],[Proposed Energy Consumption (kWh/yr)]])</f>
        <v/>
      </c>
      <c r="T10" s="81" t="str">
        <f>IF(Table_Controls_Input2225[[#This Row],[Measure Name]]="", "", Table_Controls_Input2225[[#This Row],[Existing Peak Demand (kW)]]-Table_Controls_Input2225[[#This Row],[Proposed Peak Demand (kW)]])</f>
        <v/>
      </c>
      <c r="U10" s="74" t="str">
        <f t="shared" si="0"/>
        <v/>
      </c>
      <c r="V10" s="74" t="str">
        <f>IF(Table_Controls_Input2225[[#This Row],[Measure Name]]="", "", Table_Controls_Input2225[[#This Row],[Total Equipment Cost]]+Table_Controls_Input2225[[#This Row],[Total Labor Cost]])</f>
        <v/>
      </c>
      <c r="W10" s="74" t="str">
        <f>IFERROR(Table_Controls_Input2225[[#This Row],[Gross Measure Cost]]-Table_Controls_Input2225[[#This Row],[Estimated Incentive]], "")</f>
        <v/>
      </c>
      <c r="X10" s="75" t="str">
        <f t="shared" si="1"/>
        <v/>
      </c>
      <c r="Y10" s="3"/>
      <c r="Z10" s="3"/>
      <c r="AA10" s="3"/>
      <c r="AB10" s="3"/>
      <c r="AC10" s="3"/>
      <c r="AD10" s="3"/>
      <c r="AE10" s="3"/>
      <c r="AF10" s="3"/>
      <c r="AG10" s="3"/>
      <c r="AH10" s="3"/>
      <c r="AI10" s="3"/>
      <c r="AJ10" s="3"/>
      <c r="AK10" s="3"/>
      <c r="AL10" s="3"/>
      <c r="AM10" s="3"/>
      <c r="AN10" s="3"/>
      <c r="AO10" s="3"/>
      <c r="AP10" s="3"/>
      <c r="AQ10" s="3"/>
      <c r="AR10" s="3"/>
      <c r="AS10" s="3"/>
      <c r="AT10" s="3"/>
    </row>
    <row r="11" spans="1:46" x14ac:dyDescent="0.2">
      <c r="A11" s="3"/>
      <c r="B11" s="71">
        <v>7</v>
      </c>
      <c r="C11" s="71" t="str">
        <f>IFERROR(INDEX(Table_Prescript_Meas[Measure Number], MATCH(Table_Controls_Input2225[[#This Row],[Measure Classification]], Table_Prescript_Meas[Measure Description], 0)),"")</f>
        <v/>
      </c>
      <c r="D11" s="61"/>
      <c r="E11" s="49"/>
      <c r="F11" s="60"/>
      <c r="G11" s="60"/>
      <c r="H11" s="60"/>
      <c r="I11" s="60"/>
      <c r="J11" s="60"/>
      <c r="K11" s="155"/>
      <c r="L11" s="156"/>
      <c r="M11" s="60"/>
      <c r="N11" s="155"/>
      <c r="O11" s="156"/>
      <c r="P11" s="157"/>
      <c r="Q11" s="157"/>
      <c r="R11" s="74" t="str">
        <f>IF(Table_Controls_Input2225[[#This Row],[Measure Name]]="","", Table_Controls_Input2225[[#This Row],[Energy Savings (kWh)]]*Value_Cus_IncentRate)</f>
        <v/>
      </c>
      <c r="S11" s="75" t="str">
        <f>IF(Table_Controls_Input2225[[#This Row],[Measure Name]]="", "", Table_Controls_Input2225[[#This Row],[Existing Energy Consumption (kWh/yr)]]-Table_Controls_Input2225[[#This Row],[Proposed Energy Consumption (kWh/yr)]])</f>
        <v/>
      </c>
      <c r="T11" s="81" t="str">
        <f>IF(Table_Controls_Input2225[[#This Row],[Measure Name]]="", "", Table_Controls_Input2225[[#This Row],[Existing Peak Demand (kW)]]-Table_Controls_Input2225[[#This Row],[Proposed Peak Demand (kW)]])</f>
        <v/>
      </c>
      <c r="U11" s="74" t="str">
        <f t="shared" si="0"/>
        <v/>
      </c>
      <c r="V11" s="74" t="str">
        <f>IF(Table_Controls_Input2225[[#This Row],[Measure Name]]="", "", Table_Controls_Input2225[[#This Row],[Total Equipment Cost]]+Table_Controls_Input2225[[#This Row],[Total Labor Cost]])</f>
        <v/>
      </c>
      <c r="W11" s="74" t="str">
        <f>IFERROR(Table_Controls_Input2225[[#This Row],[Gross Measure Cost]]-Table_Controls_Input2225[[#This Row],[Estimated Incentive]], "")</f>
        <v/>
      </c>
      <c r="X11" s="75" t="str">
        <f t="shared" si="1"/>
        <v/>
      </c>
      <c r="Y11" s="3"/>
      <c r="Z11" s="3"/>
      <c r="AA11" s="3"/>
      <c r="AB11" s="3"/>
      <c r="AC11" s="3"/>
      <c r="AD11" s="3"/>
      <c r="AE11" s="3"/>
      <c r="AF11" s="3"/>
      <c r="AG11" s="3"/>
      <c r="AH11" s="3"/>
      <c r="AI11" s="3"/>
      <c r="AJ11" s="3"/>
      <c r="AK11" s="3"/>
      <c r="AL11" s="3"/>
      <c r="AM11" s="3"/>
      <c r="AN11" s="3"/>
      <c r="AO11" s="3"/>
      <c r="AP11" s="3"/>
      <c r="AQ11" s="3"/>
      <c r="AR11" s="3"/>
      <c r="AS11" s="3"/>
      <c r="AT11" s="3"/>
    </row>
    <row r="12" spans="1:46" x14ac:dyDescent="0.2">
      <c r="A12" s="3"/>
      <c r="B12" s="71">
        <v>8</v>
      </c>
      <c r="C12" s="71" t="str">
        <f>IFERROR(INDEX(Table_Prescript_Meas[Measure Number], MATCH(Table_Controls_Input2225[[#This Row],[Measure Classification]], Table_Prescript_Meas[Measure Description], 0)),"")</f>
        <v/>
      </c>
      <c r="D12" s="61"/>
      <c r="E12" s="49"/>
      <c r="F12" s="60"/>
      <c r="G12" s="60"/>
      <c r="H12" s="60"/>
      <c r="I12" s="60"/>
      <c r="J12" s="60"/>
      <c r="K12" s="155"/>
      <c r="L12" s="156"/>
      <c r="M12" s="60"/>
      <c r="N12" s="155"/>
      <c r="O12" s="156"/>
      <c r="P12" s="157"/>
      <c r="Q12" s="157"/>
      <c r="R12" s="74" t="str">
        <f>IF(Table_Controls_Input2225[[#This Row],[Measure Name]]="","", Table_Controls_Input2225[[#This Row],[Energy Savings (kWh)]]*Value_Cus_IncentRate)</f>
        <v/>
      </c>
      <c r="S12" s="75" t="str">
        <f>IF(Table_Controls_Input2225[[#This Row],[Measure Name]]="", "", Table_Controls_Input2225[[#This Row],[Existing Energy Consumption (kWh/yr)]]-Table_Controls_Input2225[[#This Row],[Proposed Energy Consumption (kWh/yr)]])</f>
        <v/>
      </c>
      <c r="T12" s="81" t="str">
        <f>IF(Table_Controls_Input2225[[#This Row],[Measure Name]]="", "", Table_Controls_Input2225[[#This Row],[Existing Peak Demand (kW)]]-Table_Controls_Input2225[[#This Row],[Proposed Peak Demand (kW)]])</f>
        <v/>
      </c>
      <c r="U12" s="74" t="str">
        <f t="shared" si="0"/>
        <v/>
      </c>
      <c r="V12" s="74" t="str">
        <f>IF(Table_Controls_Input2225[[#This Row],[Measure Name]]="", "", Table_Controls_Input2225[[#This Row],[Total Equipment Cost]]+Table_Controls_Input2225[[#This Row],[Total Labor Cost]])</f>
        <v/>
      </c>
      <c r="W12" s="74" t="str">
        <f>IFERROR(Table_Controls_Input2225[[#This Row],[Gross Measure Cost]]-Table_Controls_Input2225[[#This Row],[Estimated Incentive]], "")</f>
        <v/>
      </c>
      <c r="X12" s="75" t="str">
        <f t="shared" si="1"/>
        <v/>
      </c>
      <c r="Y12" s="3"/>
      <c r="Z12" s="3"/>
      <c r="AA12" s="3"/>
      <c r="AB12" s="3"/>
      <c r="AC12" s="3"/>
      <c r="AD12" s="3"/>
      <c r="AE12" s="3"/>
      <c r="AF12" s="3"/>
      <c r="AG12" s="3"/>
      <c r="AH12" s="3"/>
      <c r="AI12" s="3"/>
      <c r="AJ12" s="3"/>
      <c r="AK12" s="3"/>
      <c r="AL12" s="3"/>
      <c r="AM12" s="3"/>
      <c r="AN12" s="3"/>
      <c r="AO12" s="3"/>
      <c r="AP12" s="3"/>
      <c r="AQ12" s="3"/>
      <c r="AR12" s="3"/>
      <c r="AS12" s="3"/>
      <c r="AT12" s="3"/>
    </row>
    <row r="13" spans="1:46" x14ac:dyDescent="0.2">
      <c r="A13" s="3"/>
      <c r="B13" s="71">
        <v>9</v>
      </c>
      <c r="C13" s="71" t="str">
        <f>IFERROR(INDEX(Table_Prescript_Meas[Measure Number], MATCH(Table_Controls_Input2225[[#This Row],[Measure Classification]], Table_Prescript_Meas[Measure Description], 0)),"")</f>
        <v/>
      </c>
      <c r="D13" s="61"/>
      <c r="E13" s="49"/>
      <c r="F13" s="60"/>
      <c r="G13" s="60"/>
      <c r="H13" s="60"/>
      <c r="I13" s="60"/>
      <c r="J13" s="60"/>
      <c r="K13" s="155"/>
      <c r="L13" s="156"/>
      <c r="M13" s="60"/>
      <c r="N13" s="155"/>
      <c r="O13" s="156"/>
      <c r="P13" s="157"/>
      <c r="Q13" s="157"/>
      <c r="R13" s="74" t="str">
        <f>IF(Table_Controls_Input2225[[#This Row],[Measure Name]]="","", Table_Controls_Input2225[[#This Row],[Energy Savings (kWh)]]*Value_Cus_IncentRate)</f>
        <v/>
      </c>
      <c r="S13" s="75" t="str">
        <f>IF(Table_Controls_Input2225[[#This Row],[Measure Name]]="", "", Table_Controls_Input2225[[#This Row],[Existing Energy Consumption (kWh/yr)]]-Table_Controls_Input2225[[#This Row],[Proposed Energy Consumption (kWh/yr)]])</f>
        <v/>
      </c>
      <c r="T13" s="81" t="str">
        <f>IF(Table_Controls_Input2225[[#This Row],[Measure Name]]="", "", Table_Controls_Input2225[[#This Row],[Existing Peak Demand (kW)]]-Table_Controls_Input2225[[#This Row],[Proposed Peak Demand (kW)]])</f>
        <v/>
      </c>
      <c r="U13" s="74" t="str">
        <f t="shared" si="0"/>
        <v/>
      </c>
      <c r="V13" s="74" t="str">
        <f>IF(Table_Controls_Input2225[[#This Row],[Measure Name]]="", "", Table_Controls_Input2225[[#This Row],[Total Equipment Cost]]+Table_Controls_Input2225[[#This Row],[Total Labor Cost]])</f>
        <v/>
      </c>
      <c r="W13" s="74" t="str">
        <f>IFERROR(Table_Controls_Input2225[[#This Row],[Gross Measure Cost]]-Table_Controls_Input2225[[#This Row],[Estimated Incentive]], "")</f>
        <v/>
      </c>
      <c r="X13" s="75" t="str">
        <f t="shared" si="1"/>
        <v/>
      </c>
      <c r="Y13" s="3"/>
      <c r="Z13" s="3"/>
      <c r="AA13" s="3"/>
      <c r="AB13" s="3"/>
      <c r="AC13" s="3"/>
      <c r="AD13" s="3"/>
      <c r="AE13" s="3"/>
      <c r="AF13" s="3"/>
      <c r="AG13" s="3"/>
      <c r="AH13" s="3"/>
      <c r="AI13" s="3"/>
      <c r="AJ13" s="3"/>
      <c r="AK13" s="3"/>
      <c r="AL13" s="3"/>
      <c r="AM13" s="3"/>
      <c r="AN13" s="3"/>
      <c r="AO13" s="3"/>
      <c r="AP13" s="3"/>
      <c r="AQ13" s="3"/>
      <c r="AR13" s="3"/>
      <c r="AS13" s="3"/>
      <c r="AT13" s="3"/>
    </row>
    <row r="14" spans="1:46" x14ac:dyDescent="0.2">
      <c r="A14" s="3"/>
      <c r="B14" s="71">
        <v>10</v>
      </c>
      <c r="C14" s="71" t="str">
        <f>IFERROR(INDEX(Table_Prescript_Meas[Measure Number], MATCH(Table_Controls_Input2225[[#This Row],[Measure Classification]], Table_Prescript_Meas[Measure Description], 0)),"")</f>
        <v/>
      </c>
      <c r="D14" s="61"/>
      <c r="E14" s="49"/>
      <c r="F14" s="60"/>
      <c r="G14" s="60"/>
      <c r="H14" s="60"/>
      <c r="I14" s="60"/>
      <c r="J14" s="60"/>
      <c r="K14" s="155"/>
      <c r="L14" s="156"/>
      <c r="M14" s="60"/>
      <c r="N14" s="155"/>
      <c r="O14" s="156"/>
      <c r="P14" s="157"/>
      <c r="Q14" s="157"/>
      <c r="R14" s="74" t="str">
        <f>IF(Table_Controls_Input2225[[#This Row],[Measure Name]]="","", Table_Controls_Input2225[[#This Row],[Energy Savings (kWh)]]*Value_Cus_IncentRate)</f>
        <v/>
      </c>
      <c r="S14" s="75" t="str">
        <f>IF(Table_Controls_Input2225[[#This Row],[Measure Name]]="", "", Table_Controls_Input2225[[#This Row],[Existing Energy Consumption (kWh/yr)]]-Table_Controls_Input2225[[#This Row],[Proposed Energy Consumption (kWh/yr)]])</f>
        <v/>
      </c>
      <c r="T14" s="81" t="str">
        <f>IF(Table_Controls_Input2225[[#This Row],[Measure Name]]="", "", Table_Controls_Input2225[[#This Row],[Existing Peak Demand (kW)]]-Table_Controls_Input2225[[#This Row],[Proposed Peak Demand (kW)]])</f>
        <v/>
      </c>
      <c r="U14" s="74" t="str">
        <f t="shared" si="0"/>
        <v/>
      </c>
      <c r="V14" s="74" t="str">
        <f>IF(Table_Controls_Input2225[[#This Row],[Measure Name]]="", "", Table_Controls_Input2225[[#This Row],[Total Equipment Cost]]+Table_Controls_Input2225[[#This Row],[Total Labor Cost]])</f>
        <v/>
      </c>
      <c r="W14" s="74" t="str">
        <f>IFERROR(Table_Controls_Input2225[[#This Row],[Gross Measure Cost]]-Table_Controls_Input2225[[#This Row],[Estimated Incentive]], "")</f>
        <v/>
      </c>
      <c r="X14" s="75" t="str">
        <f t="shared" si="1"/>
        <v/>
      </c>
      <c r="Y14" s="3"/>
      <c r="Z14" s="3"/>
      <c r="AA14" s="3"/>
      <c r="AB14" s="3"/>
      <c r="AC14" s="3"/>
      <c r="AD14" s="3"/>
      <c r="AE14" s="3"/>
      <c r="AF14" s="3"/>
      <c r="AG14" s="3"/>
      <c r="AH14" s="3"/>
      <c r="AI14" s="3"/>
      <c r="AJ14" s="3"/>
      <c r="AK14" s="3"/>
      <c r="AL14" s="3"/>
      <c r="AM14" s="3"/>
      <c r="AN14" s="3"/>
      <c r="AO14" s="3"/>
      <c r="AP14" s="3"/>
      <c r="AQ14" s="3"/>
      <c r="AR14" s="3"/>
      <c r="AS14" s="3"/>
      <c r="AT14" s="3"/>
    </row>
    <row r="15" spans="1:46" x14ac:dyDescent="0.2">
      <c r="A15" s="4"/>
      <c r="B15" s="71">
        <v>11</v>
      </c>
      <c r="C15" s="71" t="str">
        <f>IFERROR(INDEX(Table_Prescript_Meas[Measure Number], MATCH(Table_Controls_Input2225[[#This Row],[Measure Classification]], Table_Prescript_Meas[Measure Description], 0)),"")</f>
        <v/>
      </c>
      <c r="D15" s="61"/>
      <c r="E15" s="49"/>
      <c r="F15" s="60"/>
      <c r="G15" s="60"/>
      <c r="H15" s="60"/>
      <c r="I15" s="60"/>
      <c r="J15" s="60"/>
      <c r="K15" s="155"/>
      <c r="L15" s="156"/>
      <c r="M15" s="60"/>
      <c r="N15" s="155"/>
      <c r="O15" s="156"/>
      <c r="P15" s="157"/>
      <c r="Q15" s="157"/>
      <c r="R15" s="74" t="str">
        <f>IF(Table_Controls_Input2225[[#This Row],[Measure Name]]="","", Table_Controls_Input2225[[#This Row],[Energy Savings (kWh)]]*Value_Cus_IncentRate)</f>
        <v/>
      </c>
      <c r="S15" s="75" t="str">
        <f>IF(Table_Controls_Input2225[[#This Row],[Measure Name]]="", "", Table_Controls_Input2225[[#This Row],[Existing Energy Consumption (kWh/yr)]]-Table_Controls_Input2225[[#This Row],[Proposed Energy Consumption (kWh/yr)]])</f>
        <v/>
      </c>
      <c r="T15" s="81" t="str">
        <f>IF(Table_Controls_Input2225[[#This Row],[Measure Name]]="", "", Table_Controls_Input2225[[#This Row],[Existing Peak Demand (kW)]]-Table_Controls_Input2225[[#This Row],[Proposed Peak Demand (kW)]])</f>
        <v/>
      </c>
      <c r="U15" s="74" t="str">
        <f t="shared" ref="U15:U24" si="2">IFERROR(S15*Input_AvgkWhRate, "")</f>
        <v/>
      </c>
      <c r="V15" s="74" t="str">
        <f>IF(Table_Controls_Input2225[[#This Row],[Measure Name]]="", "", Table_Controls_Input2225[[#This Row],[Total Equipment Cost]]+Table_Controls_Input2225[[#This Row],[Total Labor Cost]])</f>
        <v/>
      </c>
      <c r="W15" s="74" t="str">
        <f>IFERROR(Table_Controls_Input2225[[#This Row],[Gross Measure Cost]]-Table_Controls_Input2225[[#This Row],[Estimated Incentive]], "")</f>
        <v/>
      </c>
      <c r="X15" s="75" t="str">
        <f t="shared" si="1"/>
        <v/>
      </c>
      <c r="Y15" s="4"/>
      <c r="Z15" s="4"/>
      <c r="AA15" s="4"/>
      <c r="AB15" s="4"/>
      <c r="AC15" s="4"/>
      <c r="AD15" s="4"/>
      <c r="AE15" s="4"/>
      <c r="AF15" s="4"/>
      <c r="AG15" s="4"/>
      <c r="AH15" s="4"/>
      <c r="AI15" s="4"/>
      <c r="AJ15" s="4"/>
      <c r="AK15" s="4"/>
      <c r="AL15" s="4"/>
      <c r="AM15" s="4"/>
      <c r="AN15" s="4"/>
      <c r="AO15" s="4"/>
      <c r="AP15" s="4"/>
      <c r="AQ15" s="4"/>
      <c r="AR15" s="4"/>
      <c r="AS15" s="4"/>
      <c r="AT15" s="4"/>
    </row>
    <row r="16" spans="1:46" x14ac:dyDescent="0.2">
      <c r="A16" s="4"/>
      <c r="B16" s="71">
        <v>12</v>
      </c>
      <c r="C16" s="71" t="str">
        <f>IFERROR(INDEX(Table_Prescript_Meas[Measure Number], MATCH(Table_Controls_Input2225[[#This Row],[Measure Classification]], Table_Prescript_Meas[Measure Description], 0)),"")</f>
        <v/>
      </c>
      <c r="D16" s="61"/>
      <c r="E16" s="49"/>
      <c r="F16" s="60"/>
      <c r="G16" s="60"/>
      <c r="H16" s="60"/>
      <c r="I16" s="60"/>
      <c r="J16" s="60"/>
      <c r="K16" s="155"/>
      <c r="L16" s="156"/>
      <c r="M16" s="60"/>
      <c r="N16" s="155"/>
      <c r="O16" s="156"/>
      <c r="P16" s="157"/>
      <c r="Q16" s="157"/>
      <c r="R16" s="74" t="str">
        <f>IF(Table_Controls_Input2225[[#This Row],[Measure Name]]="","", Table_Controls_Input2225[[#This Row],[Energy Savings (kWh)]]*Value_Cus_IncentRate)</f>
        <v/>
      </c>
      <c r="S16" s="75" t="str">
        <f>IF(Table_Controls_Input2225[[#This Row],[Measure Name]]="", "", Table_Controls_Input2225[[#This Row],[Existing Energy Consumption (kWh/yr)]]-Table_Controls_Input2225[[#This Row],[Proposed Energy Consumption (kWh/yr)]])</f>
        <v/>
      </c>
      <c r="T16" s="81" t="str">
        <f>IF(Table_Controls_Input2225[[#This Row],[Measure Name]]="", "", Table_Controls_Input2225[[#This Row],[Existing Peak Demand (kW)]]-Table_Controls_Input2225[[#This Row],[Proposed Peak Demand (kW)]])</f>
        <v/>
      </c>
      <c r="U16" s="74" t="str">
        <f t="shared" si="2"/>
        <v/>
      </c>
      <c r="V16" s="74" t="str">
        <f>IF(Table_Controls_Input2225[[#This Row],[Measure Name]]="", "", Table_Controls_Input2225[[#This Row],[Total Equipment Cost]]+Table_Controls_Input2225[[#This Row],[Total Labor Cost]])</f>
        <v/>
      </c>
      <c r="W16" s="74" t="str">
        <f>IFERROR(Table_Controls_Input2225[[#This Row],[Gross Measure Cost]]-Table_Controls_Input2225[[#This Row],[Estimated Incentive]], "")</f>
        <v/>
      </c>
      <c r="X16" s="75" t="str">
        <f t="shared" si="1"/>
        <v/>
      </c>
      <c r="Y16" s="4"/>
      <c r="Z16" s="4"/>
      <c r="AA16" s="4"/>
      <c r="AB16" s="4"/>
      <c r="AC16" s="4"/>
      <c r="AD16" s="4"/>
      <c r="AE16" s="4"/>
      <c r="AF16" s="4"/>
      <c r="AG16" s="4"/>
      <c r="AH16" s="4"/>
      <c r="AI16" s="4"/>
      <c r="AJ16" s="4"/>
      <c r="AK16" s="4"/>
      <c r="AL16" s="4"/>
      <c r="AM16" s="4"/>
      <c r="AN16" s="4"/>
      <c r="AO16" s="4"/>
      <c r="AP16" s="4"/>
      <c r="AQ16" s="4"/>
      <c r="AR16" s="4"/>
      <c r="AS16" s="4"/>
      <c r="AT16" s="4"/>
    </row>
    <row r="17" spans="1:46" x14ac:dyDescent="0.2">
      <c r="A17" s="4"/>
      <c r="B17" s="71">
        <v>13</v>
      </c>
      <c r="C17" s="71" t="str">
        <f>IFERROR(INDEX(Table_Prescript_Meas[Measure Number], MATCH(Table_Controls_Input2225[[#This Row],[Measure Classification]], Table_Prescript_Meas[Measure Description], 0)),"")</f>
        <v/>
      </c>
      <c r="D17" s="61"/>
      <c r="E17" s="49"/>
      <c r="F17" s="60"/>
      <c r="G17" s="60"/>
      <c r="H17" s="60"/>
      <c r="I17" s="60"/>
      <c r="J17" s="60"/>
      <c r="K17" s="155"/>
      <c r="L17" s="156"/>
      <c r="M17" s="60"/>
      <c r="N17" s="155"/>
      <c r="O17" s="156"/>
      <c r="P17" s="157"/>
      <c r="Q17" s="157"/>
      <c r="R17" s="74" t="str">
        <f>IF(Table_Controls_Input2225[[#This Row],[Measure Name]]="","", Table_Controls_Input2225[[#This Row],[Energy Savings (kWh)]]*Value_Cus_IncentRate)</f>
        <v/>
      </c>
      <c r="S17" s="75" t="str">
        <f>IF(Table_Controls_Input2225[[#This Row],[Measure Name]]="", "", Table_Controls_Input2225[[#This Row],[Existing Energy Consumption (kWh/yr)]]-Table_Controls_Input2225[[#This Row],[Proposed Energy Consumption (kWh/yr)]])</f>
        <v/>
      </c>
      <c r="T17" s="81" t="str">
        <f>IF(Table_Controls_Input2225[[#This Row],[Measure Name]]="", "", Table_Controls_Input2225[[#This Row],[Existing Peak Demand (kW)]]-Table_Controls_Input2225[[#This Row],[Proposed Peak Demand (kW)]])</f>
        <v/>
      </c>
      <c r="U17" s="74" t="str">
        <f t="shared" si="2"/>
        <v/>
      </c>
      <c r="V17" s="74" t="str">
        <f>IF(Table_Controls_Input2225[[#This Row],[Measure Name]]="", "", Table_Controls_Input2225[[#This Row],[Total Equipment Cost]]+Table_Controls_Input2225[[#This Row],[Total Labor Cost]])</f>
        <v/>
      </c>
      <c r="W17" s="74" t="str">
        <f>IFERROR(Table_Controls_Input2225[[#This Row],[Gross Measure Cost]]-Table_Controls_Input2225[[#This Row],[Estimated Incentive]], "")</f>
        <v/>
      </c>
      <c r="X17" s="75" t="str">
        <f t="shared" si="1"/>
        <v/>
      </c>
      <c r="Y17" s="4"/>
      <c r="Z17" s="4"/>
      <c r="AA17" s="4"/>
      <c r="AB17" s="4"/>
      <c r="AC17" s="4"/>
      <c r="AD17" s="4"/>
      <c r="AE17" s="4"/>
      <c r="AF17" s="4"/>
      <c r="AG17" s="4"/>
      <c r="AH17" s="4"/>
      <c r="AI17" s="4"/>
      <c r="AJ17" s="4"/>
      <c r="AK17" s="4"/>
      <c r="AL17" s="4"/>
      <c r="AM17" s="4"/>
      <c r="AN17" s="4"/>
      <c r="AO17" s="4"/>
      <c r="AP17" s="4"/>
      <c r="AQ17" s="4"/>
      <c r="AR17" s="4"/>
      <c r="AS17" s="4"/>
      <c r="AT17" s="4"/>
    </row>
    <row r="18" spans="1:46" x14ac:dyDescent="0.2">
      <c r="A18" s="4"/>
      <c r="B18" s="71">
        <v>14</v>
      </c>
      <c r="C18" s="71" t="str">
        <f>IFERROR(INDEX(Table_Prescript_Meas[Measure Number], MATCH(Table_Controls_Input2225[[#This Row],[Measure Classification]], Table_Prescript_Meas[Measure Description], 0)),"")</f>
        <v/>
      </c>
      <c r="D18" s="61"/>
      <c r="E18" s="49"/>
      <c r="F18" s="60"/>
      <c r="G18" s="60"/>
      <c r="H18" s="60"/>
      <c r="I18" s="60"/>
      <c r="J18" s="60"/>
      <c r="K18" s="155"/>
      <c r="L18" s="156"/>
      <c r="M18" s="60"/>
      <c r="N18" s="155"/>
      <c r="O18" s="156"/>
      <c r="P18" s="157"/>
      <c r="Q18" s="157"/>
      <c r="R18" s="74" t="str">
        <f>IF(Table_Controls_Input2225[[#This Row],[Measure Name]]="","", Table_Controls_Input2225[[#This Row],[Energy Savings (kWh)]]*Value_Cus_IncentRate)</f>
        <v/>
      </c>
      <c r="S18" s="75" t="str">
        <f>IF(Table_Controls_Input2225[[#This Row],[Measure Name]]="", "", Table_Controls_Input2225[[#This Row],[Existing Energy Consumption (kWh/yr)]]-Table_Controls_Input2225[[#This Row],[Proposed Energy Consumption (kWh/yr)]])</f>
        <v/>
      </c>
      <c r="T18" s="81" t="str">
        <f>IF(Table_Controls_Input2225[[#This Row],[Measure Name]]="", "", Table_Controls_Input2225[[#This Row],[Existing Peak Demand (kW)]]-Table_Controls_Input2225[[#This Row],[Proposed Peak Demand (kW)]])</f>
        <v/>
      </c>
      <c r="U18" s="74" t="str">
        <f t="shared" si="2"/>
        <v/>
      </c>
      <c r="V18" s="74" t="str">
        <f>IF(Table_Controls_Input2225[[#This Row],[Measure Name]]="", "", Table_Controls_Input2225[[#This Row],[Total Equipment Cost]]+Table_Controls_Input2225[[#This Row],[Total Labor Cost]])</f>
        <v/>
      </c>
      <c r="W18" s="74" t="str">
        <f>IFERROR(Table_Controls_Input2225[[#This Row],[Gross Measure Cost]]-Table_Controls_Input2225[[#This Row],[Estimated Incentive]], "")</f>
        <v/>
      </c>
      <c r="X18" s="75" t="str">
        <f t="shared" si="1"/>
        <v/>
      </c>
      <c r="Y18" s="4"/>
      <c r="Z18" s="4"/>
      <c r="AA18" s="4"/>
      <c r="AB18" s="4"/>
      <c r="AC18" s="4"/>
      <c r="AD18" s="4"/>
      <c r="AE18" s="4"/>
      <c r="AF18" s="4"/>
      <c r="AG18" s="4"/>
      <c r="AH18" s="4"/>
      <c r="AI18" s="4"/>
      <c r="AJ18" s="4"/>
      <c r="AK18" s="4"/>
      <c r="AL18" s="4"/>
      <c r="AM18" s="4"/>
      <c r="AN18" s="4"/>
      <c r="AO18" s="4"/>
      <c r="AP18" s="4"/>
      <c r="AQ18" s="4"/>
      <c r="AR18" s="4"/>
      <c r="AS18" s="4"/>
      <c r="AT18" s="4"/>
    </row>
    <row r="19" spans="1:46" x14ac:dyDescent="0.2">
      <c r="A19" s="4"/>
      <c r="B19" s="71">
        <v>15</v>
      </c>
      <c r="C19" s="71" t="str">
        <f>IFERROR(INDEX(Table_Prescript_Meas[Measure Number], MATCH(Table_Controls_Input2225[[#This Row],[Measure Classification]], Table_Prescript_Meas[Measure Description], 0)),"")</f>
        <v/>
      </c>
      <c r="D19" s="61"/>
      <c r="E19" s="49"/>
      <c r="F19" s="60"/>
      <c r="G19" s="60"/>
      <c r="H19" s="60"/>
      <c r="I19" s="60"/>
      <c r="J19" s="60"/>
      <c r="K19" s="155"/>
      <c r="L19" s="156"/>
      <c r="M19" s="60"/>
      <c r="N19" s="155"/>
      <c r="O19" s="156"/>
      <c r="P19" s="157"/>
      <c r="Q19" s="157"/>
      <c r="R19" s="74" t="str">
        <f>IF(Table_Controls_Input2225[[#This Row],[Measure Name]]="","", Table_Controls_Input2225[[#This Row],[Energy Savings (kWh)]]*Value_Cus_IncentRate)</f>
        <v/>
      </c>
      <c r="S19" s="75" t="str">
        <f>IF(Table_Controls_Input2225[[#This Row],[Measure Name]]="", "", Table_Controls_Input2225[[#This Row],[Existing Energy Consumption (kWh/yr)]]-Table_Controls_Input2225[[#This Row],[Proposed Energy Consumption (kWh/yr)]])</f>
        <v/>
      </c>
      <c r="T19" s="81" t="str">
        <f>IF(Table_Controls_Input2225[[#This Row],[Measure Name]]="", "", Table_Controls_Input2225[[#This Row],[Existing Peak Demand (kW)]]-Table_Controls_Input2225[[#This Row],[Proposed Peak Demand (kW)]])</f>
        <v/>
      </c>
      <c r="U19" s="74" t="str">
        <f t="shared" si="2"/>
        <v/>
      </c>
      <c r="V19" s="74" t="str">
        <f>IF(Table_Controls_Input2225[[#This Row],[Measure Name]]="", "", Table_Controls_Input2225[[#This Row],[Total Equipment Cost]]+Table_Controls_Input2225[[#This Row],[Total Labor Cost]])</f>
        <v/>
      </c>
      <c r="W19" s="74" t="str">
        <f>IFERROR(Table_Controls_Input2225[[#This Row],[Gross Measure Cost]]-Table_Controls_Input2225[[#This Row],[Estimated Incentive]], "")</f>
        <v/>
      </c>
      <c r="X19" s="75" t="str">
        <f t="shared" si="1"/>
        <v/>
      </c>
      <c r="Y19" s="4"/>
      <c r="Z19" s="4"/>
      <c r="AA19" s="4"/>
      <c r="AB19" s="4"/>
      <c r="AC19" s="4"/>
      <c r="AD19" s="4"/>
      <c r="AE19" s="4"/>
      <c r="AF19" s="4"/>
      <c r="AG19" s="4"/>
      <c r="AH19" s="4"/>
      <c r="AI19" s="4"/>
      <c r="AJ19" s="4"/>
      <c r="AK19" s="4"/>
      <c r="AL19" s="4"/>
      <c r="AM19" s="4"/>
      <c r="AN19" s="4"/>
      <c r="AO19" s="4"/>
      <c r="AP19" s="4"/>
      <c r="AQ19" s="4"/>
      <c r="AR19" s="4"/>
      <c r="AS19" s="4"/>
      <c r="AT19" s="4"/>
    </row>
    <row r="20" spans="1:46" x14ac:dyDescent="0.2">
      <c r="A20" s="4"/>
      <c r="B20" s="71">
        <v>16</v>
      </c>
      <c r="C20" s="71" t="str">
        <f>IFERROR(INDEX(Table_Prescript_Meas[Measure Number], MATCH(Table_Controls_Input2225[[#This Row],[Measure Classification]], Table_Prescript_Meas[Measure Description], 0)),"")</f>
        <v/>
      </c>
      <c r="D20" s="61"/>
      <c r="E20" s="49"/>
      <c r="F20" s="60"/>
      <c r="G20" s="60"/>
      <c r="H20" s="60"/>
      <c r="I20" s="60"/>
      <c r="J20" s="60"/>
      <c r="K20" s="155"/>
      <c r="L20" s="156"/>
      <c r="M20" s="60"/>
      <c r="N20" s="155"/>
      <c r="O20" s="156"/>
      <c r="P20" s="157"/>
      <c r="Q20" s="157"/>
      <c r="R20" s="74" t="str">
        <f>IF(Table_Controls_Input2225[[#This Row],[Measure Name]]="","", Table_Controls_Input2225[[#This Row],[Energy Savings (kWh)]]*Value_Cus_IncentRate)</f>
        <v/>
      </c>
      <c r="S20" s="75" t="str">
        <f>IF(Table_Controls_Input2225[[#This Row],[Measure Name]]="", "", Table_Controls_Input2225[[#This Row],[Existing Energy Consumption (kWh/yr)]]-Table_Controls_Input2225[[#This Row],[Proposed Energy Consumption (kWh/yr)]])</f>
        <v/>
      </c>
      <c r="T20" s="81" t="str">
        <f>IF(Table_Controls_Input2225[[#This Row],[Measure Name]]="", "", Table_Controls_Input2225[[#This Row],[Existing Peak Demand (kW)]]-Table_Controls_Input2225[[#This Row],[Proposed Peak Demand (kW)]])</f>
        <v/>
      </c>
      <c r="U20" s="74" t="str">
        <f t="shared" si="2"/>
        <v/>
      </c>
      <c r="V20" s="74" t="str">
        <f>IF(Table_Controls_Input2225[[#This Row],[Measure Name]]="", "", Table_Controls_Input2225[[#This Row],[Total Equipment Cost]]+Table_Controls_Input2225[[#This Row],[Total Labor Cost]])</f>
        <v/>
      </c>
      <c r="W20" s="74" t="str">
        <f>IFERROR(Table_Controls_Input2225[[#This Row],[Gross Measure Cost]]-Table_Controls_Input2225[[#This Row],[Estimated Incentive]], "")</f>
        <v/>
      </c>
      <c r="X20" s="75" t="str">
        <f t="shared" si="1"/>
        <v/>
      </c>
      <c r="Y20" s="4"/>
      <c r="Z20" s="4"/>
      <c r="AA20" s="4"/>
      <c r="AB20" s="4"/>
      <c r="AC20" s="4"/>
      <c r="AD20" s="4"/>
      <c r="AE20" s="4"/>
      <c r="AF20" s="4"/>
      <c r="AG20" s="4"/>
      <c r="AH20" s="4"/>
      <c r="AI20" s="4"/>
      <c r="AJ20" s="4"/>
      <c r="AK20" s="4"/>
      <c r="AL20" s="4"/>
      <c r="AM20" s="4"/>
      <c r="AN20" s="4"/>
      <c r="AO20" s="4"/>
      <c r="AP20" s="4"/>
      <c r="AQ20" s="4"/>
      <c r="AR20" s="4"/>
      <c r="AS20" s="4"/>
      <c r="AT20" s="4"/>
    </row>
    <row r="21" spans="1:46" x14ac:dyDescent="0.2">
      <c r="A21" s="4"/>
      <c r="B21" s="71">
        <v>17</v>
      </c>
      <c r="C21" s="71" t="str">
        <f>IFERROR(INDEX(Table_Prescript_Meas[Measure Number], MATCH(Table_Controls_Input2225[[#This Row],[Measure Classification]], Table_Prescript_Meas[Measure Description], 0)),"")</f>
        <v/>
      </c>
      <c r="D21" s="61"/>
      <c r="E21" s="49"/>
      <c r="F21" s="60"/>
      <c r="G21" s="60"/>
      <c r="H21" s="60"/>
      <c r="I21" s="60"/>
      <c r="J21" s="60"/>
      <c r="K21" s="155"/>
      <c r="L21" s="156"/>
      <c r="M21" s="60"/>
      <c r="N21" s="155"/>
      <c r="O21" s="156"/>
      <c r="P21" s="157"/>
      <c r="Q21" s="157"/>
      <c r="R21" s="74" t="str">
        <f>IF(Table_Controls_Input2225[[#This Row],[Measure Name]]="","", Table_Controls_Input2225[[#This Row],[Energy Savings (kWh)]]*Value_Cus_IncentRate)</f>
        <v/>
      </c>
      <c r="S21" s="75" t="str">
        <f>IF(Table_Controls_Input2225[[#This Row],[Measure Name]]="", "", Table_Controls_Input2225[[#This Row],[Existing Energy Consumption (kWh/yr)]]-Table_Controls_Input2225[[#This Row],[Proposed Energy Consumption (kWh/yr)]])</f>
        <v/>
      </c>
      <c r="T21" s="81" t="str">
        <f>IF(Table_Controls_Input2225[[#This Row],[Measure Name]]="", "", Table_Controls_Input2225[[#This Row],[Existing Peak Demand (kW)]]-Table_Controls_Input2225[[#This Row],[Proposed Peak Demand (kW)]])</f>
        <v/>
      </c>
      <c r="U21" s="74" t="str">
        <f t="shared" si="2"/>
        <v/>
      </c>
      <c r="V21" s="74" t="str">
        <f>IF(Table_Controls_Input2225[[#This Row],[Measure Name]]="", "", Table_Controls_Input2225[[#This Row],[Total Equipment Cost]]+Table_Controls_Input2225[[#This Row],[Total Labor Cost]])</f>
        <v/>
      </c>
      <c r="W21" s="74" t="str">
        <f>IFERROR(Table_Controls_Input2225[[#This Row],[Gross Measure Cost]]-Table_Controls_Input2225[[#This Row],[Estimated Incentive]], "")</f>
        <v/>
      </c>
      <c r="X21" s="75" t="str">
        <f t="shared" si="1"/>
        <v/>
      </c>
      <c r="Y21" s="4"/>
      <c r="Z21" s="4"/>
      <c r="AA21" s="4"/>
      <c r="AB21" s="4"/>
      <c r="AC21" s="4"/>
      <c r="AD21" s="4"/>
      <c r="AE21" s="4"/>
      <c r="AF21" s="4"/>
      <c r="AG21" s="4"/>
      <c r="AH21" s="4"/>
      <c r="AI21" s="4"/>
      <c r="AJ21" s="4"/>
      <c r="AK21" s="4"/>
      <c r="AL21" s="4"/>
      <c r="AM21" s="4"/>
      <c r="AN21" s="4"/>
      <c r="AO21" s="4"/>
      <c r="AP21" s="4"/>
      <c r="AQ21" s="4"/>
      <c r="AR21" s="4"/>
      <c r="AS21" s="4"/>
      <c r="AT21" s="4"/>
    </row>
    <row r="22" spans="1:46" x14ac:dyDescent="0.2">
      <c r="A22" s="4"/>
      <c r="B22" s="71">
        <v>18</v>
      </c>
      <c r="C22" s="71" t="str">
        <f>IFERROR(INDEX(Table_Prescript_Meas[Measure Number], MATCH(Table_Controls_Input2225[[#This Row],[Measure Classification]], Table_Prescript_Meas[Measure Description], 0)),"")</f>
        <v/>
      </c>
      <c r="D22" s="61"/>
      <c r="E22" s="49"/>
      <c r="F22" s="60"/>
      <c r="G22" s="60"/>
      <c r="H22" s="60"/>
      <c r="I22" s="60"/>
      <c r="J22" s="60"/>
      <c r="K22" s="155"/>
      <c r="L22" s="156"/>
      <c r="M22" s="60"/>
      <c r="N22" s="155"/>
      <c r="O22" s="156"/>
      <c r="P22" s="157"/>
      <c r="Q22" s="157"/>
      <c r="R22" s="74" t="str">
        <f>IF(Table_Controls_Input2225[[#This Row],[Measure Name]]="","", Table_Controls_Input2225[[#This Row],[Energy Savings (kWh)]]*Value_Cus_IncentRate)</f>
        <v/>
      </c>
      <c r="S22" s="75" t="str">
        <f>IF(Table_Controls_Input2225[[#This Row],[Measure Name]]="", "", Table_Controls_Input2225[[#This Row],[Existing Energy Consumption (kWh/yr)]]-Table_Controls_Input2225[[#This Row],[Proposed Energy Consumption (kWh/yr)]])</f>
        <v/>
      </c>
      <c r="T22" s="81" t="str">
        <f>IF(Table_Controls_Input2225[[#This Row],[Measure Name]]="", "", Table_Controls_Input2225[[#This Row],[Existing Peak Demand (kW)]]-Table_Controls_Input2225[[#This Row],[Proposed Peak Demand (kW)]])</f>
        <v/>
      </c>
      <c r="U22" s="74" t="str">
        <f t="shared" si="2"/>
        <v/>
      </c>
      <c r="V22" s="74" t="str">
        <f>IF(Table_Controls_Input2225[[#This Row],[Measure Name]]="", "", Table_Controls_Input2225[[#This Row],[Total Equipment Cost]]+Table_Controls_Input2225[[#This Row],[Total Labor Cost]])</f>
        <v/>
      </c>
      <c r="W22" s="74" t="str">
        <f>IFERROR(Table_Controls_Input2225[[#This Row],[Gross Measure Cost]]-Table_Controls_Input2225[[#This Row],[Estimated Incentive]], "")</f>
        <v/>
      </c>
      <c r="X22" s="75" t="str">
        <f t="shared" si="1"/>
        <v/>
      </c>
      <c r="Y22" s="4"/>
      <c r="Z22" s="4"/>
      <c r="AA22" s="4"/>
      <c r="AB22" s="4"/>
      <c r="AC22" s="4"/>
      <c r="AD22" s="4"/>
      <c r="AE22" s="4"/>
      <c r="AF22" s="4"/>
      <c r="AG22" s="4"/>
      <c r="AH22" s="4"/>
      <c r="AI22" s="4"/>
      <c r="AJ22" s="4"/>
      <c r="AK22" s="4"/>
      <c r="AL22" s="4"/>
      <c r="AM22" s="4"/>
      <c r="AN22" s="4"/>
      <c r="AO22" s="4"/>
      <c r="AP22" s="4"/>
      <c r="AQ22" s="4"/>
      <c r="AR22" s="4"/>
      <c r="AS22" s="4"/>
      <c r="AT22" s="4"/>
    </row>
    <row r="23" spans="1:46" x14ac:dyDescent="0.2">
      <c r="A23" s="4"/>
      <c r="B23" s="71">
        <v>19</v>
      </c>
      <c r="C23" s="71" t="str">
        <f>IFERROR(INDEX(Table_Prescript_Meas[Measure Number], MATCH(Table_Controls_Input2225[[#This Row],[Measure Classification]], Table_Prescript_Meas[Measure Description], 0)),"")</f>
        <v/>
      </c>
      <c r="D23" s="61"/>
      <c r="E23" s="49"/>
      <c r="F23" s="60"/>
      <c r="G23" s="60"/>
      <c r="H23" s="60"/>
      <c r="I23" s="60"/>
      <c r="J23" s="60"/>
      <c r="K23" s="155"/>
      <c r="L23" s="156"/>
      <c r="M23" s="60"/>
      <c r="N23" s="155"/>
      <c r="O23" s="156"/>
      <c r="P23" s="157"/>
      <c r="Q23" s="157"/>
      <c r="R23" s="74" t="str">
        <f>IF(Table_Controls_Input2225[[#This Row],[Measure Name]]="","", Table_Controls_Input2225[[#This Row],[Energy Savings (kWh)]]*Value_Cus_IncentRate)</f>
        <v/>
      </c>
      <c r="S23" s="75" t="str">
        <f>IF(Table_Controls_Input2225[[#This Row],[Measure Name]]="", "", Table_Controls_Input2225[[#This Row],[Existing Energy Consumption (kWh/yr)]]-Table_Controls_Input2225[[#This Row],[Proposed Energy Consumption (kWh/yr)]])</f>
        <v/>
      </c>
      <c r="T23" s="81" t="str">
        <f>IF(Table_Controls_Input2225[[#This Row],[Measure Name]]="", "", Table_Controls_Input2225[[#This Row],[Existing Peak Demand (kW)]]-Table_Controls_Input2225[[#This Row],[Proposed Peak Demand (kW)]])</f>
        <v/>
      </c>
      <c r="U23" s="74" t="str">
        <f t="shared" si="2"/>
        <v/>
      </c>
      <c r="V23" s="74" t="str">
        <f>IF(Table_Controls_Input2225[[#This Row],[Measure Name]]="", "", Table_Controls_Input2225[[#This Row],[Total Equipment Cost]]+Table_Controls_Input2225[[#This Row],[Total Labor Cost]])</f>
        <v/>
      </c>
      <c r="W23" s="74" t="str">
        <f>IFERROR(Table_Controls_Input2225[[#This Row],[Gross Measure Cost]]-Table_Controls_Input2225[[#This Row],[Estimated Incentive]], "")</f>
        <v/>
      </c>
      <c r="X23" s="75" t="str">
        <f t="shared" si="1"/>
        <v/>
      </c>
      <c r="Y23" s="4"/>
      <c r="Z23" s="4"/>
      <c r="AA23" s="4"/>
      <c r="AB23" s="4"/>
      <c r="AC23" s="4"/>
      <c r="AD23" s="4"/>
      <c r="AE23" s="4"/>
      <c r="AF23" s="4"/>
      <c r="AG23" s="4"/>
      <c r="AH23" s="4"/>
      <c r="AI23" s="4"/>
      <c r="AJ23" s="4"/>
      <c r="AK23" s="4"/>
      <c r="AL23" s="4"/>
      <c r="AM23" s="4"/>
      <c r="AN23" s="4"/>
      <c r="AO23" s="4"/>
      <c r="AP23" s="4"/>
      <c r="AQ23" s="4"/>
      <c r="AR23" s="4"/>
      <c r="AS23" s="4"/>
      <c r="AT23" s="4"/>
    </row>
    <row r="24" spans="1:46" x14ac:dyDescent="0.2">
      <c r="A24" s="4"/>
      <c r="B24" s="71">
        <v>20</v>
      </c>
      <c r="C24" s="71" t="str">
        <f>IFERROR(INDEX(Table_Prescript_Meas[Measure Number], MATCH(Table_Controls_Input2225[[#This Row],[Measure Classification]], Table_Prescript_Meas[Measure Description], 0)),"")</f>
        <v/>
      </c>
      <c r="D24" s="61"/>
      <c r="E24" s="49"/>
      <c r="F24" s="60"/>
      <c r="G24" s="60"/>
      <c r="H24" s="60"/>
      <c r="I24" s="60"/>
      <c r="J24" s="60"/>
      <c r="K24" s="155"/>
      <c r="L24" s="156"/>
      <c r="M24" s="60"/>
      <c r="N24" s="155"/>
      <c r="O24" s="156"/>
      <c r="P24" s="157"/>
      <c r="Q24" s="157"/>
      <c r="R24" s="74" t="str">
        <f>IF(Table_Controls_Input2225[[#This Row],[Measure Name]]="","", Table_Controls_Input2225[[#This Row],[Energy Savings (kWh)]]*Value_Cus_IncentRate)</f>
        <v/>
      </c>
      <c r="S24" s="75" t="str">
        <f>IF(Table_Controls_Input2225[[#This Row],[Measure Name]]="", "", Table_Controls_Input2225[[#This Row],[Existing Energy Consumption (kWh/yr)]]-Table_Controls_Input2225[[#This Row],[Proposed Energy Consumption (kWh/yr)]])</f>
        <v/>
      </c>
      <c r="T24" s="81" t="str">
        <f>IF(Table_Controls_Input2225[[#This Row],[Measure Name]]="", "", Table_Controls_Input2225[[#This Row],[Existing Peak Demand (kW)]]-Table_Controls_Input2225[[#This Row],[Proposed Peak Demand (kW)]])</f>
        <v/>
      </c>
      <c r="U24" s="74" t="str">
        <f t="shared" si="2"/>
        <v/>
      </c>
      <c r="V24" s="74" t="str">
        <f>IF(Table_Controls_Input2225[[#This Row],[Measure Name]]="", "", Table_Controls_Input2225[[#This Row],[Total Equipment Cost]]+Table_Controls_Input2225[[#This Row],[Total Labor Cost]])</f>
        <v/>
      </c>
      <c r="W24" s="74" t="str">
        <f>IFERROR(Table_Controls_Input2225[[#This Row],[Gross Measure Cost]]-Table_Controls_Input2225[[#This Row],[Estimated Incentive]], "")</f>
        <v/>
      </c>
      <c r="X24" s="75" t="str">
        <f t="shared" si="1"/>
        <v/>
      </c>
      <c r="Y24" s="4"/>
      <c r="Z24" s="4"/>
      <c r="AA24" s="4"/>
      <c r="AB24" s="4"/>
      <c r="AC24" s="4"/>
      <c r="AD24" s="4"/>
      <c r="AE24" s="4"/>
      <c r="AF24" s="4"/>
      <c r="AG24" s="4"/>
      <c r="AH24" s="4"/>
      <c r="AI24" s="4"/>
      <c r="AJ24" s="4"/>
      <c r="AK24" s="4"/>
      <c r="AL24" s="4"/>
      <c r="AM24" s="4"/>
      <c r="AN24" s="4"/>
      <c r="AO24" s="4"/>
      <c r="AP24" s="4"/>
      <c r="AQ24" s="4"/>
      <c r="AR24" s="4"/>
      <c r="AS24" s="4"/>
      <c r="AT24" s="4"/>
    </row>
    <row r="25" spans="1:46" x14ac:dyDescent="0.2">
      <c r="A25" s="4"/>
      <c r="Y25" s="4"/>
      <c r="Z25" s="4"/>
      <c r="AA25" s="4"/>
      <c r="AB25" s="4"/>
      <c r="AC25" s="4"/>
      <c r="AD25" s="4"/>
      <c r="AE25" s="4"/>
      <c r="AF25" s="4"/>
      <c r="AG25" s="4"/>
      <c r="AH25" s="4"/>
      <c r="AI25" s="4"/>
      <c r="AJ25" s="4"/>
      <c r="AK25" s="4"/>
      <c r="AL25" s="4"/>
      <c r="AM25" s="4"/>
      <c r="AN25" s="4"/>
      <c r="AO25" s="4"/>
      <c r="AP25" s="4"/>
      <c r="AQ25" s="4"/>
      <c r="AR25" s="4"/>
      <c r="AS25" s="4"/>
      <c r="AT25" s="4"/>
    </row>
    <row r="26" spans="1:46" x14ac:dyDescent="0.2"/>
    <row r="27" spans="1:46" x14ac:dyDescent="0.2">
      <c r="B27" t="s">
        <v>11</v>
      </c>
    </row>
    <row r="28" spans="1:46" x14ac:dyDescent="0.2">
      <c r="B28" t="str">
        <f>Value_Application_Version</f>
        <v>Version 3.1</v>
      </c>
    </row>
    <row r="29" spans="1:46" x14ac:dyDescent="0.2"/>
    <row r="30" spans="1:46" x14ac:dyDescent="0.2">
      <c r="A30" s="4"/>
      <c r="Y30" s="4"/>
      <c r="Z30" s="4"/>
      <c r="AA30" s="4"/>
      <c r="AB30" s="4"/>
      <c r="AC30" s="4"/>
      <c r="AD30" s="4"/>
      <c r="AE30" s="4"/>
      <c r="AF30" s="4"/>
      <c r="AG30" s="4"/>
      <c r="AH30" s="4"/>
      <c r="AI30" s="4"/>
      <c r="AJ30" s="4"/>
      <c r="AK30" s="4"/>
      <c r="AL30" s="4"/>
      <c r="AM30" s="4"/>
      <c r="AN30" s="4"/>
      <c r="AO30" s="4"/>
      <c r="AP30" s="4"/>
      <c r="AQ30" s="4"/>
      <c r="AR30" s="4"/>
      <c r="AS30" s="4"/>
      <c r="AT30" s="4"/>
    </row>
    <row r="31" spans="1:46" x14ac:dyDescent="0.2">
      <c r="A31" s="4"/>
      <c r="Y31" s="4"/>
      <c r="Z31" s="4"/>
      <c r="AA31" s="4"/>
      <c r="AB31" s="4"/>
      <c r="AC31" s="4"/>
      <c r="AD31" s="4"/>
      <c r="AE31" s="4"/>
      <c r="AF31" s="4"/>
      <c r="AG31" s="4"/>
      <c r="AH31" s="4"/>
      <c r="AI31" s="4"/>
      <c r="AJ31" s="4"/>
      <c r="AK31" s="4"/>
      <c r="AL31" s="4"/>
      <c r="AM31" s="4"/>
      <c r="AN31" s="4"/>
      <c r="AO31" s="4"/>
      <c r="AP31" s="4"/>
      <c r="AQ31" s="4"/>
      <c r="AR31" s="4"/>
      <c r="AS31" s="4"/>
      <c r="AT31" s="4"/>
    </row>
    <row r="32" spans="1:46" x14ac:dyDescent="0.2">
      <c r="A32" s="4"/>
      <c r="Y32" s="4"/>
      <c r="Z32" s="4"/>
      <c r="AA32" s="4"/>
      <c r="AB32" s="4"/>
      <c r="AC32" s="4"/>
      <c r="AD32" s="4"/>
      <c r="AE32" s="4"/>
      <c r="AF32" s="4"/>
      <c r="AG32" s="4"/>
      <c r="AH32" s="4"/>
      <c r="AI32" s="4"/>
      <c r="AJ32" s="4"/>
      <c r="AK32" s="4"/>
      <c r="AL32" s="4"/>
      <c r="AM32" s="4"/>
      <c r="AN32" s="4"/>
      <c r="AO32" s="4"/>
      <c r="AP32" s="4"/>
      <c r="AQ32" s="4"/>
      <c r="AR32" s="4"/>
      <c r="AS32" s="4"/>
      <c r="AT32" s="4"/>
    </row>
    <row r="33" spans="1:46" x14ac:dyDescent="0.2">
      <c r="A33" s="4"/>
      <c r="Y33" s="4"/>
      <c r="Z33" s="4"/>
      <c r="AA33" s="4"/>
      <c r="AB33" s="4"/>
      <c r="AC33" s="4"/>
      <c r="AD33" s="4"/>
      <c r="AE33" s="4"/>
      <c r="AF33" s="4"/>
      <c r="AG33" s="4"/>
      <c r="AH33" s="4"/>
      <c r="AI33" s="4"/>
      <c r="AJ33" s="4"/>
      <c r="AK33" s="4"/>
      <c r="AL33" s="4"/>
      <c r="AM33" s="4"/>
      <c r="AN33" s="4"/>
      <c r="AO33" s="4"/>
      <c r="AP33" s="4"/>
      <c r="AQ33" s="4"/>
      <c r="AR33" s="4"/>
      <c r="AS33" s="4"/>
      <c r="AT33" s="4"/>
    </row>
    <row r="34" spans="1:46" x14ac:dyDescent="0.2">
      <c r="A34" s="4"/>
      <c r="Y34" s="4"/>
      <c r="Z34" s="4"/>
      <c r="AA34" s="4"/>
      <c r="AB34" s="4"/>
      <c r="AC34" s="4"/>
      <c r="AD34" s="4"/>
      <c r="AE34" s="4"/>
      <c r="AF34" s="4"/>
      <c r="AG34" s="4"/>
      <c r="AH34" s="4"/>
      <c r="AI34" s="4"/>
      <c r="AJ34" s="4"/>
      <c r="AK34" s="4"/>
      <c r="AL34" s="4"/>
      <c r="AM34" s="4"/>
      <c r="AN34" s="4"/>
      <c r="AO34" s="4"/>
      <c r="AP34" s="4"/>
      <c r="AQ34" s="4"/>
      <c r="AR34" s="4"/>
      <c r="AS34" s="4"/>
      <c r="AT34" s="4"/>
    </row>
    <row r="35" spans="1:46" x14ac:dyDescent="0.2">
      <c r="A35" s="4"/>
      <c r="Y35" s="4"/>
      <c r="Z35" s="4"/>
      <c r="AA35" s="4"/>
      <c r="AB35" s="4"/>
      <c r="AC35" s="4"/>
      <c r="AD35" s="4"/>
      <c r="AE35" s="4"/>
      <c r="AF35" s="4"/>
      <c r="AG35" s="4"/>
      <c r="AH35" s="4"/>
      <c r="AI35" s="4"/>
      <c r="AJ35" s="4"/>
      <c r="AK35" s="4"/>
      <c r="AL35" s="4"/>
      <c r="AM35" s="4"/>
      <c r="AN35" s="4"/>
      <c r="AO35" s="4"/>
      <c r="AP35" s="4"/>
      <c r="AQ35" s="4"/>
      <c r="AR35" s="4"/>
      <c r="AS35" s="4"/>
      <c r="AT35" s="4"/>
    </row>
    <row r="36" spans="1:46" x14ac:dyDescent="0.2">
      <c r="A36" s="4"/>
      <c r="Y36" s="4"/>
      <c r="Z36" s="4"/>
      <c r="AA36" s="4"/>
      <c r="AB36" s="4"/>
      <c r="AC36" s="4"/>
      <c r="AD36" s="4"/>
      <c r="AE36" s="4"/>
      <c r="AF36" s="4"/>
      <c r="AG36" s="4"/>
      <c r="AH36" s="4"/>
      <c r="AI36" s="4"/>
      <c r="AJ36" s="4"/>
      <c r="AK36" s="4"/>
      <c r="AL36" s="4"/>
      <c r="AM36" s="4"/>
      <c r="AN36" s="4"/>
      <c r="AO36" s="4"/>
      <c r="AP36" s="4"/>
      <c r="AQ36" s="4"/>
      <c r="AR36" s="4"/>
      <c r="AS36" s="4"/>
      <c r="AT36" s="4"/>
    </row>
    <row r="37" spans="1:46" x14ac:dyDescent="0.2">
      <c r="A37" s="4"/>
      <c r="Y37" s="4"/>
      <c r="Z37" s="4"/>
      <c r="AA37" s="4"/>
      <c r="AB37" s="4"/>
      <c r="AC37" s="4"/>
      <c r="AD37" s="4"/>
      <c r="AE37" s="4"/>
      <c r="AF37" s="4"/>
      <c r="AG37" s="4"/>
      <c r="AH37" s="4"/>
      <c r="AI37" s="4"/>
      <c r="AJ37" s="4"/>
      <c r="AK37" s="4"/>
      <c r="AL37" s="4"/>
      <c r="AM37" s="4"/>
      <c r="AN37" s="4"/>
      <c r="AO37" s="4"/>
      <c r="AP37" s="4"/>
      <c r="AQ37" s="4"/>
      <c r="AR37" s="4"/>
      <c r="AS37" s="4"/>
      <c r="AT37" s="4"/>
    </row>
    <row r="38" spans="1:46" x14ac:dyDescent="0.2">
      <c r="A38" s="4"/>
      <c r="Y38" s="4"/>
      <c r="Z38" s="4"/>
      <c r="AA38" s="4"/>
      <c r="AB38" s="4"/>
      <c r="AC38" s="4"/>
      <c r="AD38" s="4"/>
      <c r="AE38" s="4"/>
      <c r="AF38" s="4"/>
      <c r="AG38" s="4"/>
      <c r="AH38" s="4"/>
      <c r="AI38" s="4"/>
      <c r="AJ38" s="4"/>
      <c r="AK38" s="4"/>
      <c r="AL38" s="4"/>
      <c r="AM38" s="4"/>
      <c r="AN38" s="4"/>
      <c r="AO38" s="4"/>
      <c r="AP38" s="4"/>
      <c r="AQ38" s="4"/>
      <c r="AR38" s="4"/>
      <c r="AS38" s="4"/>
      <c r="AT38" s="4"/>
    </row>
    <row r="39" spans="1:46" x14ac:dyDescent="0.2">
      <c r="A39" s="4"/>
      <c r="Y39" s="4"/>
      <c r="Z39" s="4"/>
      <c r="AA39" s="4"/>
      <c r="AB39" s="4"/>
      <c r="AC39" s="4"/>
      <c r="AD39" s="4"/>
      <c r="AE39" s="4"/>
      <c r="AF39" s="4"/>
      <c r="AG39" s="4"/>
      <c r="AH39" s="4"/>
      <c r="AI39" s="4"/>
      <c r="AJ39" s="4"/>
      <c r="AK39" s="4"/>
      <c r="AL39" s="4"/>
      <c r="AM39" s="4"/>
      <c r="AN39" s="4"/>
      <c r="AO39" s="4"/>
      <c r="AP39" s="4"/>
      <c r="AQ39" s="4"/>
      <c r="AR39" s="4"/>
      <c r="AS39" s="4"/>
      <c r="AT39" s="4"/>
    </row>
    <row r="40" spans="1:46" x14ac:dyDescent="0.2">
      <c r="A40" s="4"/>
      <c r="Y40" s="4"/>
      <c r="Z40" s="4"/>
      <c r="AA40" s="4"/>
      <c r="AB40" s="4"/>
      <c r="AC40" s="4"/>
      <c r="AD40" s="4"/>
      <c r="AE40" s="4"/>
      <c r="AF40" s="4"/>
      <c r="AG40" s="4"/>
      <c r="AH40" s="4"/>
      <c r="AI40" s="4"/>
      <c r="AJ40" s="4"/>
      <c r="AK40" s="4"/>
      <c r="AL40" s="4"/>
      <c r="AM40" s="4"/>
      <c r="AN40" s="4"/>
      <c r="AO40" s="4"/>
      <c r="AP40" s="4"/>
      <c r="AQ40" s="4"/>
      <c r="AR40" s="4"/>
      <c r="AS40" s="4"/>
      <c r="AT40" s="4"/>
    </row>
    <row r="41" spans="1:46" x14ac:dyDescent="0.2">
      <c r="A41" s="4"/>
      <c r="Y41" s="4"/>
      <c r="Z41" s="4"/>
      <c r="AA41" s="4"/>
      <c r="AB41" s="4"/>
      <c r="AC41" s="4"/>
      <c r="AD41" s="4"/>
      <c r="AE41" s="4"/>
      <c r="AF41" s="4"/>
      <c r="AG41" s="4"/>
      <c r="AH41" s="4"/>
      <c r="AI41" s="4"/>
      <c r="AJ41" s="4"/>
      <c r="AK41" s="4"/>
      <c r="AL41" s="4"/>
      <c r="AM41" s="4"/>
      <c r="AN41" s="4"/>
      <c r="AO41" s="4"/>
      <c r="AP41" s="4"/>
      <c r="AQ41" s="4"/>
      <c r="AR41" s="4"/>
      <c r="AS41" s="4"/>
      <c r="AT41" s="4"/>
    </row>
    <row r="42" spans="1:46" x14ac:dyDescent="0.2">
      <c r="A42" s="4"/>
      <c r="Y42" s="4"/>
      <c r="Z42" s="4"/>
      <c r="AA42" s="4"/>
      <c r="AB42" s="4"/>
      <c r="AC42" s="4"/>
      <c r="AD42" s="4"/>
      <c r="AE42" s="4"/>
      <c r="AF42" s="4"/>
      <c r="AG42" s="4"/>
      <c r="AH42" s="4"/>
      <c r="AI42" s="4"/>
      <c r="AJ42" s="4"/>
      <c r="AK42" s="4"/>
      <c r="AL42" s="4"/>
      <c r="AM42" s="4"/>
      <c r="AN42" s="4"/>
      <c r="AO42" s="4"/>
      <c r="AP42" s="4"/>
      <c r="AQ42" s="4"/>
      <c r="AR42" s="4"/>
      <c r="AS42" s="4"/>
      <c r="AT42" s="4"/>
    </row>
    <row r="43" spans="1:46" x14ac:dyDescent="0.2">
      <c r="A43" s="4"/>
      <c r="Y43" s="4"/>
      <c r="Z43" s="4"/>
      <c r="AA43" s="4"/>
      <c r="AB43" s="4"/>
      <c r="AC43" s="4"/>
      <c r="AD43" s="4"/>
      <c r="AE43" s="4"/>
      <c r="AF43" s="4"/>
      <c r="AG43" s="4"/>
      <c r="AH43" s="4"/>
      <c r="AI43" s="4"/>
      <c r="AJ43" s="4"/>
      <c r="AK43" s="4"/>
      <c r="AL43" s="4"/>
      <c r="AM43" s="4"/>
      <c r="AN43" s="4"/>
      <c r="AO43" s="4"/>
      <c r="AP43" s="4"/>
      <c r="AQ43" s="4"/>
      <c r="AR43" s="4"/>
      <c r="AS43" s="4"/>
      <c r="AT43" s="4"/>
    </row>
    <row r="44" spans="1:46" x14ac:dyDescent="0.2">
      <c r="A44" s="4"/>
      <c r="Y44" s="4"/>
      <c r="Z44" s="4"/>
      <c r="AA44" s="4"/>
      <c r="AB44" s="4"/>
      <c r="AC44" s="4"/>
      <c r="AD44" s="4"/>
      <c r="AE44" s="4"/>
      <c r="AF44" s="4"/>
      <c r="AG44" s="4"/>
      <c r="AH44" s="4"/>
      <c r="AI44" s="4"/>
      <c r="AJ44" s="4"/>
      <c r="AK44" s="4"/>
      <c r="AL44" s="4"/>
      <c r="AM44" s="4"/>
      <c r="AN44" s="4"/>
      <c r="AO44" s="4"/>
      <c r="AP44" s="4"/>
      <c r="AQ44" s="4"/>
      <c r="AR44" s="4"/>
      <c r="AS44" s="4"/>
      <c r="AT44" s="4"/>
    </row>
    <row r="45" spans="1:46" x14ac:dyDescent="0.2">
      <c r="A45" s="4"/>
      <c r="Y45" s="4"/>
      <c r="Z45" s="4"/>
      <c r="AA45" s="4"/>
      <c r="AB45" s="4"/>
      <c r="AC45" s="4"/>
      <c r="AD45" s="4"/>
      <c r="AE45" s="4"/>
      <c r="AF45" s="4"/>
      <c r="AG45" s="4"/>
      <c r="AH45" s="4"/>
      <c r="AI45" s="4"/>
      <c r="AJ45" s="4"/>
      <c r="AK45" s="4"/>
      <c r="AL45" s="4"/>
      <c r="AM45" s="4"/>
      <c r="AN45" s="4"/>
      <c r="AO45" s="4"/>
      <c r="AP45" s="4"/>
      <c r="AQ45" s="4"/>
      <c r="AR45" s="4"/>
      <c r="AS45" s="4"/>
      <c r="AT45" s="4"/>
    </row>
    <row r="46" spans="1:46" x14ac:dyDescent="0.2">
      <c r="A46" s="4"/>
      <c r="Y46" s="4"/>
      <c r="Z46" s="4"/>
      <c r="AA46" s="4"/>
      <c r="AB46" s="4"/>
      <c r="AC46" s="4"/>
      <c r="AD46" s="4"/>
      <c r="AE46" s="4"/>
      <c r="AF46" s="4"/>
      <c r="AG46" s="4"/>
      <c r="AH46" s="4"/>
      <c r="AI46" s="4"/>
      <c r="AJ46" s="4"/>
      <c r="AK46" s="4"/>
      <c r="AL46" s="4"/>
      <c r="AM46" s="4"/>
      <c r="AN46" s="4"/>
      <c r="AO46" s="4"/>
      <c r="AP46" s="4"/>
      <c r="AQ46" s="4"/>
      <c r="AR46" s="4"/>
      <c r="AS46" s="4"/>
      <c r="AT46" s="4"/>
    </row>
    <row r="47" spans="1:46" x14ac:dyDescent="0.2">
      <c r="A47" s="4"/>
      <c r="Y47" s="4"/>
      <c r="Z47" s="4"/>
      <c r="AA47" s="4"/>
      <c r="AB47" s="4"/>
      <c r="AC47" s="4"/>
      <c r="AD47" s="4"/>
      <c r="AE47" s="4"/>
      <c r="AF47" s="4"/>
      <c r="AG47" s="4"/>
      <c r="AH47" s="4"/>
      <c r="AI47" s="4"/>
      <c r="AJ47" s="4"/>
      <c r="AK47" s="4"/>
      <c r="AL47" s="4"/>
      <c r="AM47" s="4"/>
      <c r="AN47" s="4"/>
      <c r="AO47" s="4"/>
      <c r="AP47" s="4"/>
      <c r="AQ47" s="4"/>
      <c r="AR47" s="4"/>
      <c r="AS47" s="4"/>
      <c r="AT47" s="4"/>
    </row>
    <row r="48" spans="1:46" x14ac:dyDescent="0.2">
      <c r="A48" s="4"/>
      <c r="Y48" s="4"/>
      <c r="Z48" s="4"/>
      <c r="AA48" s="4"/>
      <c r="AB48" s="4"/>
      <c r="AC48" s="4"/>
      <c r="AD48" s="4"/>
      <c r="AE48" s="4"/>
      <c r="AF48" s="4"/>
      <c r="AG48" s="4"/>
      <c r="AH48" s="4"/>
      <c r="AI48" s="4"/>
      <c r="AJ48" s="4"/>
      <c r="AK48" s="4"/>
      <c r="AL48" s="4"/>
      <c r="AM48" s="4"/>
      <c r="AN48" s="4"/>
      <c r="AO48" s="4"/>
      <c r="AP48" s="4"/>
      <c r="AQ48" s="4"/>
      <c r="AR48" s="4"/>
      <c r="AS48" s="4"/>
      <c r="AT48" s="4"/>
    </row>
    <row r="49" spans="1:46" x14ac:dyDescent="0.2">
      <c r="A49" s="4"/>
      <c r="Y49" s="4"/>
      <c r="Z49" s="4"/>
      <c r="AA49" s="4"/>
      <c r="AB49" s="4"/>
      <c r="AC49" s="4"/>
      <c r="AD49" s="4"/>
      <c r="AE49" s="4"/>
      <c r="AF49" s="4"/>
      <c r="AG49" s="4"/>
      <c r="AH49" s="4"/>
      <c r="AI49" s="4"/>
      <c r="AJ49" s="4"/>
      <c r="AK49" s="4"/>
      <c r="AL49" s="4"/>
      <c r="AM49" s="4"/>
      <c r="AN49" s="4"/>
      <c r="AO49" s="4"/>
      <c r="AP49" s="4"/>
      <c r="AQ49" s="4"/>
      <c r="AR49" s="4"/>
      <c r="AS49" s="4"/>
      <c r="AT49" s="4"/>
    </row>
    <row r="50" spans="1:46" x14ac:dyDescent="0.2">
      <c r="A50" s="4"/>
      <c r="Y50" s="4"/>
      <c r="Z50" s="4"/>
      <c r="AA50" s="4"/>
      <c r="AB50" s="4"/>
      <c r="AC50" s="4"/>
      <c r="AD50" s="4"/>
      <c r="AE50" s="4"/>
      <c r="AF50" s="4"/>
      <c r="AG50" s="4"/>
      <c r="AH50" s="4"/>
      <c r="AI50" s="4"/>
      <c r="AJ50" s="4"/>
      <c r="AK50" s="4"/>
      <c r="AL50" s="4"/>
      <c r="AM50" s="4"/>
      <c r="AN50" s="4"/>
      <c r="AO50" s="4"/>
      <c r="AP50" s="4"/>
      <c r="AQ50" s="4"/>
      <c r="AR50" s="4"/>
      <c r="AS50" s="4"/>
      <c r="AT50" s="4"/>
    </row>
    <row r="51" spans="1:46" x14ac:dyDescent="0.2">
      <c r="A51" s="4"/>
      <c r="Y51" s="4"/>
      <c r="Z51" s="4"/>
      <c r="AA51" s="4"/>
      <c r="AB51" s="4"/>
      <c r="AC51" s="4"/>
      <c r="AD51" s="4"/>
      <c r="AE51" s="4"/>
      <c r="AF51" s="4"/>
      <c r="AG51" s="4"/>
      <c r="AH51" s="4"/>
      <c r="AI51" s="4"/>
      <c r="AJ51" s="4"/>
      <c r="AK51" s="4"/>
      <c r="AL51" s="4"/>
      <c r="AM51" s="4"/>
      <c r="AN51" s="4"/>
      <c r="AO51" s="4"/>
      <c r="AP51" s="4"/>
      <c r="AQ51" s="4"/>
      <c r="AR51" s="4"/>
      <c r="AS51" s="4"/>
      <c r="AT51" s="4"/>
    </row>
    <row r="52" spans="1:46" x14ac:dyDescent="0.2">
      <c r="A52" s="4"/>
      <c r="Y52" s="4"/>
      <c r="Z52" s="4"/>
      <c r="AA52" s="4"/>
      <c r="AB52" s="4"/>
      <c r="AC52" s="4"/>
      <c r="AD52" s="4"/>
      <c r="AE52" s="4"/>
      <c r="AF52" s="4"/>
      <c r="AG52" s="4"/>
      <c r="AH52" s="4"/>
      <c r="AI52" s="4"/>
      <c r="AJ52" s="4"/>
      <c r="AK52" s="4"/>
      <c r="AL52" s="4"/>
      <c r="AM52" s="4"/>
      <c r="AN52" s="4"/>
      <c r="AO52" s="4"/>
      <c r="AP52" s="4"/>
      <c r="AQ52" s="4"/>
      <c r="AR52" s="4"/>
      <c r="AS52" s="4"/>
      <c r="AT52" s="4"/>
    </row>
    <row r="53" spans="1:46" x14ac:dyDescent="0.2">
      <c r="A53" s="4"/>
      <c r="Y53" s="4"/>
      <c r="Z53" s="4"/>
      <c r="AA53" s="4"/>
      <c r="AB53" s="4"/>
      <c r="AC53" s="4"/>
      <c r="AD53" s="4"/>
      <c r="AE53" s="4"/>
      <c r="AF53" s="4"/>
      <c r="AG53" s="4"/>
      <c r="AH53" s="4"/>
      <c r="AI53" s="4"/>
      <c r="AJ53" s="4"/>
      <c r="AK53" s="4"/>
      <c r="AL53" s="4"/>
      <c r="AM53" s="4"/>
      <c r="AN53" s="4"/>
      <c r="AO53" s="4"/>
      <c r="AP53" s="4"/>
      <c r="AQ53" s="4"/>
      <c r="AR53" s="4"/>
      <c r="AS53" s="4"/>
      <c r="AT53" s="4"/>
    </row>
    <row r="54" spans="1:46" x14ac:dyDescent="0.2">
      <c r="A54" s="4"/>
      <c r="Y54" s="4"/>
      <c r="Z54" s="4"/>
      <c r="AA54" s="4"/>
      <c r="AB54" s="4"/>
      <c r="AC54" s="4"/>
      <c r="AD54" s="4"/>
      <c r="AE54" s="4"/>
      <c r="AF54" s="4"/>
      <c r="AG54" s="4"/>
      <c r="AH54" s="4"/>
      <c r="AI54" s="4"/>
      <c r="AJ54" s="4"/>
      <c r="AK54" s="4"/>
      <c r="AL54" s="4"/>
      <c r="AM54" s="4"/>
      <c r="AN54" s="4"/>
      <c r="AO54" s="4"/>
      <c r="AP54" s="4"/>
      <c r="AQ54" s="4"/>
      <c r="AR54" s="4"/>
      <c r="AS54" s="4"/>
      <c r="AT54" s="4"/>
    </row>
    <row r="55" spans="1:46" x14ac:dyDescent="0.2">
      <c r="A55" s="4"/>
      <c r="Y55" s="4"/>
      <c r="Z55" s="4"/>
      <c r="AA55" s="4"/>
      <c r="AB55" s="4"/>
      <c r="AC55" s="4"/>
      <c r="AD55" s="4"/>
      <c r="AE55" s="4"/>
      <c r="AF55" s="4"/>
      <c r="AG55" s="4"/>
      <c r="AH55" s="4"/>
      <c r="AI55" s="4"/>
      <c r="AJ55" s="4"/>
      <c r="AK55" s="4"/>
      <c r="AL55" s="4"/>
      <c r="AM55" s="4"/>
      <c r="AN55" s="4"/>
      <c r="AO55" s="4"/>
      <c r="AP55" s="4"/>
      <c r="AQ55" s="4"/>
      <c r="AR55" s="4"/>
      <c r="AS55" s="4"/>
      <c r="AT55" s="4"/>
    </row>
    <row r="56" spans="1:46" x14ac:dyDescent="0.2">
      <c r="A56" s="4"/>
      <c r="Y56" s="4"/>
      <c r="Z56" s="4"/>
      <c r="AA56" s="4"/>
      <c r="AB56" s="4"/>
      <c r="AC56" s="4"/>
      <c r="AD56" s="4"/>
      <c r="AE56" s="4"/>
      <c r="AF56" s="4"/>
      <c r="AG56" s="4"/>
      <c r="AH56" s="4"/>
      <c r="AI56" s="4"/>
      <c r="AJ56" s="4"/>
      <c r="AK56" s="4"/>
      <c r="AL56" s="4"/>
      <c r="AM56" s="4"/>
      <c r="AN56" s="4"/>
      <c r="AO56" s="4"/>
      <c r="AP56" s="4"/>
      <c r="AQ56" s="4"/>
      <c r="AR56" s="4"/>
      <c r="AS56" s="4"/>
      <c r="AT56" s="4"/>
    </row>
    <row r="57" spans="1:46" x14ac:dyDescent="0.2">
      <c r="A57" s="4"/>
      <c r="Y57" s="4"/>
      <c r="Z57" s="4"/>
      <c r="AA57" s="4"/>
      <c r="AB57" s="4"/>
      <c r="AC57" s="4"/>
      <c r="AD57" s="4"/>
      <c r="AE57" s="4"/>
      <c r="AF57" s="4"/>
      <c r="AG57" s="4"/>
      <c r="AH57" s="4"/>
      <c r="AI57" s="4"/>
      <c r="AJ57" s="4"/>
      <c r="AK57" s="4"/>
      <c r="AL57" s="4"/>
      <c r="AM57" s="4"/>
      <c r="AN57" s="4"/>
      <c r="AO57" s="4"/>
      <c r="AP57" s="4"/>
      <c r="AQ57" s="4"/>
      <c r="AR57" s="4"/>
      <c r="AS57" s="4"/>
      <c r="AT57" s="4"/>
    </row>
    <row r="58" spans="1:46" x14ac:dyDescent="0.2">
      <c r="A58" s="4"/>
      <c r="Y58" s="4"/>
      <c r="Z58" s="4"/>
      <c r="AA58" s="4"/>
      <c r="AB58" s="4"/>
      <c r="AC58" s="4"/>
      <c r="AD58" s="4"/>
      <c r="AE58" s="4"/>
      <c r="AF58" s="4"/>
      <c r="AG58" s="4"/>
      <c r="AH58" s="4"/>
      <c r="AI58" s="4"/>
      <c r="AJ58" s="4"/>
      <c r="AK58" s="4"/>
      <c r="AL58" s="4"/>
      <c r="AM58" s="4"/>
      <c r="AN58" s="4"/>
      <c r="AO58" s="4"/>
      <c r="AP58" s="4"/>
      <c r="AQ58" s="4"/>
      <c r="AR58" s="4"/>
      <c r="AS58" s="4"/>
      <c r="AT58" s="4"/>
    </row>
    <row r="59" spans="1:46" x14ac:dyDescent="0.2">
      <c r="A59" s="4"/>
      <c r="Y59" s="4"/>
      <c r="Z59" s="4"/>
      <c r="AA59" s="4"/>
      <c r="AB59" s="4"/>
      <c r="AC59" s="4"/>
      <c r="AD59" s="4"/>
      <c r="AE59" s="4"/>
      <c r="AF59" s="4"/>
      <c r="AG59" s="4"/>
      <c r="AH59" s="4"/>
      <c r="AI59" s="4"/>
      <c r="AJ59" s="4"/>
      <c r="AK59" s="4"/>
      <c r="AL59" s="4"/>
      <c r="AM59" s="4"/>
      <c r="AN59" s="4"/>
      <c r="AO59" s="4"/>
      <c r="AP59" s="4"/>
      <c r="AQ59" s="4"/>
      <c r="AR59" s="4"/>
      <c r="AS59" s="4"/>
      <c r="AT59" s="4"/>
    </row>
    <row r="60" spans="1:46" x14ac:dyDescent="0.2">
      <c r="A60" s="4"/>
      <c r="Y60" s="4"/>
      <c r="Z60" s="4"/>
      <c r="AA60" s="4"/>
      <c r="AB60" s="4"/>
      <c r="AC60" s="4"/>
      <c r="AD60" s="4"/>
      <c r="AE60" s="4"/>
      <c r="AF60" s="4"/>
      <c r="AG60" s="4"/>
      <c r="AH60" s="4"/>
      <c r="AI60" s="4"/>
      <c r="AJ60" s="4"/>
      <c r="AK60" s="4"/>
      <c r="AL60" s="4"/>
      <c r="AM60" s="4"/>
      <c r="AN60" s="4"/>
      <c r="AO60" s="4"/>
      <c r="AP60" s="4"/>
      <c r="AQ60" s="4"/>
      <c r="AR60" s="4"/>
      <c r="AS60" s="4"/>
      <c r="AT60" s="4"/>
    </row>
    <row r="61" spans="1:46" x14ac:dyDescent="0.2">
      <c r="A61" s="4"/>
      <c r="Y61" s="4"/>
      <c r="Z61" s="4"/>
      <c r="AA61" s="4"/>
      <c r="AB61" s="4"/>
      <c r="AC61" s="4"/>
      <c r="AD61" s="4"/>
      <c r="AE61" s="4"/>
      <c r="AF61" s="4"/>
      <c r="AG61" s="4"/>
      <c r="AH61" s="4"/>
      <c r="AI61" s="4"/>
      <c r="AJ61" s="4"/>
      <c r="AK61" s="4"/>
      <c r="AL61" s="4"/>
      <c r="AM61" s="4"/>
      <c r="AN61" s="4"/>
      <c r="AO61" s="4"/>
      <c r="AP61" s="4"/>
      <c r="AQ61" s="4"/>
      <c r="AR61" s="4"/>
      <c r="AS61" s="4"/>
      <c r="AT61" s="4"/>
    </row>
    <row r="62" spans="1:46" x14ac:dyDescent="0.2">
      <c r="A62" s="4"/>
      <c r="Y62" s="4"/>
      <c r="Z62" s="4"/>
      <c r="AA62" s="4"/>
      <c r="AB62" s="4"/>
      <c r="AC62" s="4"/>
      <c r="AD62" s="4"/>
      <c r="AE62" s="4"/>
      <c r="AF62" s="4"/>
      <c r="AG62" s="4"/>
      <c r="AH62" s="4"/>
      <c r="AI62" s="4"/>
      <c r="AJ62" s="4"/>
      <c r="AK62" s="4"/>
      <c r="AL62" s="4"/>
      <c r="AM62" s="4"/>
      <c r="AN62" s="4"/>
      <c r="AO62" s="4"/>
      <c r="AP62" s="4"/>
      <c r="AQ62" s="4"/>
      <c r="AR62" s="4"/>
      <c r="AS62" s="4"/>
      <c r="AT62" s="4"/>
    </row>
    <row r="63" spans="1:46" x14ac:dyDescent="0.2">
      <c r="A63" s="4"/>
      <c r="Y63" s="4"/>
      <c r="Z63" s="4"/>
      <c r="AA63" s="4"/>
      <c r="AB63" s="4"/>
      <c r="AC63" s="4"/>
      <c r="AD63" s="4"/>
      <c r="AE63" s="4"/>
      <c r="AF63" s="4"/>
      <c r="AG63" s="4"/>
      <c r="AH63" s="4"/>
      <c r="AI63" s="4"/>
      <c r="AJ63" s="4"/>
      <c r="AK63" s="4"/>
      <c r="AL63" s="4"/>
      <c r="AM63" s="4"/>
      <c r="AN63" s="4"/>
      <c r="AO63" s="4"/>
      <c r="AP63" s="4"/>
      <c r="AQ63" s="4"/>
      <c r="AR63" s="4"/>
      <c r="AS63" s="4"/>
      <c r="AT63" s="4"/>
    </row>
    <row r="64" spans="1:46" x14ac:dyDescent="0.2">
      <c r="A64" s="4"/>
      <c r="Y64" s="4"/>
      <c r="Z64" s="4"/>
      <c r="AA64" s="4"/>
      <c r="AB64" s="4"/>
      <c r="AC64" s="4"/>
      <c r="AD64" s="4"/>
      <c r="AE64" s="4"/>
      <c r="AF64" s="4"/>
      <c r="AG64" s="4"/>
      <c r="AH64" s="4"/>
      <c r="AI64" s="4"/>
      <c r="AJ64" s="4"/>
      <c r="AK64" s="4"/>
      <c r="AL64" s="4"/>
      <c r="AM64" s="4"/>
      <c r="AN64" s="4"/>
      <c r="AO64" s="4"/>
      <c r="AP64" s="4"/>
      <c r="AQ64" s="4"/>
      <c r="AR64" s="4"/>
      <c r="AS64" s="4"/>
      <c r="AT64" s="4"/>
    </row>
    <row r="65" spans="1:46" x14ac:dyDescent="0.2">
      <c r="A65" s="4"/>
      <c r="Y65" s="4"/>
      <c r="Z65" s="4"/>
      <c r="AA65" s="4"/>
      <c r="AB65" s="4"/>
      <c r="AC65" s="4"/>
      <c r="AD65" s="4"/>
      <c r="AE65" s="4"/>
      <c r="AF65" s="4"/>
      <c r="AG65" s="4"/>
      <c r="AH65" s="4"/>
      <c r="AI65" s="4"/>
      <c r="AJ65" s="4"/>
      <c r="AK65" s="4"/>
      <c r="AL65" s="4"/>
      <c r="AM65" s="4"/>
      <c r="AN65" s="4"/>
      <c r="AO65" s="4"/>
      <c r="AP65" s="4"/>
      <c r="AQ65" s="4"/>
      <c r="AR65" s="4"/>
      <c r="AS65" s="4"/>
      <c r="AT65" s="4"/>
    </row>
    <row r="66" spans="1:46" x14ac:dyDescent="0.2">
      <c r="A66" s="4"/>
      <c r="Y66" s="4"/>
      <c r="Z66" s="4"/>
      <c r="AA66" s="4"/>
      <c r="AB66" s="4"/>
      <c r="AC66" s="4"/>
      <c r="AD66" s="4"/>
      <c r="AE66" s="4"/>
      <c r="AF66" s="4"/>
      <c r="AG66" s="4"/>
      <c r="AH66" s="4"/>
      <c r="AI66" s="4"/>
      <c r="AJ66" s="4"/>
      <c r="AK66" s="4"/>
      <c r="AL66" s="4"/>
      <c r="AM66" s="4"/>
      <c r="AN66" s="4"/>
      <c r="AO66" s="4"/>
      <c r="AP66" s="4"/>
      <c r="AQ66" s="4"/>
      <c r="AR66" s="4"/>
      <c r="AS66" s="4"/>
      <c r="AT66" s="4"/>
    </row>
    <row r="67" spans="1:46" x14ac:dyDescent="0.2">
      <c r="A67" s="4"/>
      <c r="Y67" s="4"/>
      <c r="Z67" s="4"/>
      <c r="AA67" s="4"/>
      <c r="AB67" s="4"/>
      <c r="AC67" s="4"/>
      <c r="AD67" s="4"/>
      <c r="AE67" s="4"/>
      <c r="AF67" s="4"/>
      <c r="AG67" s="4"/>
      <c r="AH67" s="4"/>
      <c r="AI67" s="4"/>
      <c r="AJ67" s="4"/>
      <c r="AK67" s="4"/>
      <c r="AL67" s="4"/>
      <c r="AM67" s="4"/>
      <c r="AN67" s="4"/>
      <c r="AO67" s="4"/>
      <c r="AP67" s="4"/>
      <c r="AQ67" s="4"/>
      <c r="AR67" s="4"/>
      <c r="AS67" s="4"/>
      <c r="AT67" s="4"/>
    </row>
    <row r="68" spans="1:46" x14ac:dyDescent="0.2">
      <c r="A68" s="4"/>
      <c r="Y68" s="4"/>
      <c r="Z68" s="4"/>
      <c r="AA68" s="4"/>
      <c r="AB68" s="4"/>
      <c r="AC68" s="4"/>
      <c r="AD68" s="4"/>
      <c r="AE68" s="4"/>
      <c r="AF68" s="4"/>
      <c r="AG68" s="4"/>
      <c r="AH68" s="4"/>
      <c r="AI68" s="4"/>
      <c r="AJ68" s="4"/>
      <c r="AK68" s="4"/>
      <c r="AL68" s="4"/>
      <c r="AM68" s="4"/>
      <c r="AN68" s="4"/>
      <c r="AO68" s="4"/>
      <c r="AP68" s="4"/>
      <c r="AQ68" s="4"/>
      <c r="AR68" s="4"/>
      <c r="AS68" s="4"/>
      <c r="AT68" s="4"/>
    </row>
    <row r="69" spans="1:46" x14ac:dyDescent="0.2">
      <c r="A69" s="4"/>
      <c r="Y69" s="4"/>
      <c r="Z69" s="4"/>
      <c r="AA69" s="4"/>
      <c r="AB69" s="4"/>
      <c r="AC69" s="4"/>
      <c r="AD69" s="4"/>
      <c r="AE69" s="4"/>
      <c r="AF69" s="4"/>
      <c r="AG69" s="4"/>
      <c r="AH69" s="4"/>
      <c r="AI69" s="4"/>
      <c r="AJ69" s="4"/>
      <c r="AK69" s="4"/>
      <c r="AL69" s="4"/>
      <c r="AM69" s="4"/>
      <c r="AN69" s="4"/>
      <c r="AO69" s="4"/>
      <c r="AP69" s="4"/>
      <c r="AQ69" s="4"/>
      <c r="AR69" s="4"/>
      <c r="AS69" s="4"/>
      <c r="AT69" s="4"/>
    </row>
    <row r="70" spans="1:46" x14ac:dyDescent="0.2">
      <c r="A70" s="4"/>
      <c r="Y70" s="4"/>
      <c r="Z70" s="4"/>
      <c r="AA70" s="4"/>
      <c r="AB70" s="4"/>
      <c r="AC70" s="4"/>
      <c r="AD70" s="4"/>
      <c r="AE70" s="4"/>
      <c r="AF70" s="4"/>
      <c r="AG70" s="4"/>
      <c r="AH70" s="4"/>
      <c r="AI70" s="4"/>
      <c r="AJ70" s="4"/>
      <c r="AK70" s="4"/>
      <c r="AL70" s="4"/>
      <c r="AM70" s="4"/>
      <c r="AN70" s="4"/>
      <c r="AO70" s="4"/>
      <c r="AP70" s="4"/>
      <c r="AQ70" s="4"/>
      <c r="AR70" s="4"/>
      <c r="AS70" s="4"/>
      <c r="AT70" s="4"/>
    </row>
    <row r="71" spans="1:46" x14ac:dyDescent="0.2">
      <c r="A71" s="4"/>
      <c r="Y71" s="4"/>
      <c r="Z71" s="4"/>
      <c r="AA71" s="4"/>
      <c r="AB71" s="4"/>
      <c r="AC71" s="4"/>
      <c r="AD71" s="4"/>
      <c r="AE71" s="4"/>
      <c r="AF71" s="4"/>
      <c r="AG71" s="4"/>
      <c r="AH71" s="4"/>
      <c r="AI71" s="4"/>
      <c r="AJ71" s="4"/>
      <c r="AK71" s="4"/>
      <c r="AL71" s="4"/>
      <c r="AM71" s="4"/>
      <c r="AN71" s="4"/>
      <c r="AO71" s="4"/>
      <c r="AP71" s="4"/>
      <c r="AQ71" s="4"/>
      <c r="AR71" s="4"/>
      <c r="AS71" s="4"/>
      <c r="AT71" s="4"/>
    </row>
    <row r="72" spans="1:46" x14ac:dyDescent="0.2">
      <c r="A72" s="4"/>
      <c r="Y72" s="4"/>
      <c r="Z72" s="4"/>
      <c r="AA72" s="4"/>
      <c r="AB72" s="4"/>
      <c r="AC72" s="4"/>
      <c r="AD72" s="4"/>
      <c r="AE72" s="4"/>
      <c r="AF72" s="4"/>
      <c r="AG72" s="4"/>
      <c r="AH72" s="4"/>
      <c r="AI72" s="4"/>
      <c r="AJ72" s="4"/>
      <c r="AK72" s="4"/>
      <c r="AL72" s="4"/>
      <c r="AM72" s="4"/>
      <c r="AN72" s="4"/>
      <c r="AO72" s="4"/>
      <c r="AP72" s="4"/>
      <c r="AQ72" s="4"/>
      <c r="AR72" s="4"/>
      <c r="AS72" s="4"/>
      <c r="AT72" s="4"/>
    </row>
    <row r="73" spans="1:46" x14ac:dyDescent="0.2">
      <c r="A73" s="4"/>
      <c r="Y73" s="4"/>
      <c r="Z73" s="4"/>
      <c r="AA73" s="4"/>
      <c r="AB73" s="4"/>
      <c r="AC73" s="4"/>
      <c r="AD73" s="4"/>
      <c r="AE73" s="4"/>
      <c r="AF73" s="4"/>
      <c r="AG73" s="4"/>
      <c r="AH73" s="4"/>
      <c r="AI73" s="4"/>
      <c r="AJ73" s="4"/>
      <c r="AK73" s="4"/>
      <c r="AL73" s="4"/>
      <c r="AM73" s="4"/>
      <c r="AN73" s="4"/>
      <c r="AO73" s="4"/>
      <c r="AP73" s="4"/>
      <c r="AQ73" s="4"/>
      <c r="AR73" s="4"/>
      <c r="AS73" s="4"/>
      <c r="AT73" s="4"/>
    </row>
    <row r="74" spans="1:46" x14ac:dyDescent="0.2">
      <c r="A74" s="4"/>
      <c r="Y74" s="4"/>
      <c r="Z74" s="4"/>
      <c r="AA74" s="4"/>
      <c r="AB74" s="4"/>
      <c r="AC74" s="4"/>
      <c r="AD74" s="4"/>
      <c r="AE74" s="4"/>
      <c r="AF74" s="4"/>
      <c r="AG74" s="4"/>
      <c r="AH74" s="4"/>
      <c r="AI74" s="4"/>
      <c r="AJ74" s="4"/>
      <c r="AK74" s="4"/>
      <c r="AL74" s="4"/>
      <c r="AM74" s="4"/>
      <c r="AN74" s="4"/>
      <c r="AO74" s="4"/>
      <c r="AP74" s="4"/>
      <c r="AQ74" s="4"/>
      <c r="AR74" s="4"/>
      <c r="AS74" s="4"/>
      <c r="AT74" s="4"/>
    </row>
    <row r="75" spans="1:46" x14ac:dyDescent="0.2">
      <c r="A75" s="4"/>
      <c r="Y75" s="4"/>
      <c r="Z75" s="4"/>
      <c r="AA75" s="4"/>
      <c r="AB75" s="4"/>
      <c r="AC75" s="4"/>
      <c r="AD75" s="4"/>
      <c r="AE75" s="4"/>
      <c r="AF75" s="4"/>
      <c r="AG75" s="4"/>
      <c r="AH75" s="4"/>
      <c r="AI75" s="4"/>
      <c r="AJ75" s="4"/>
      <c r="AK75" s="4"/>
      <c r="AL75" s="4"/>
      <c r="AM75" s="4"/>
      <c r="AN75" s="4"/>
      <c r="AO75" s="4"/>
      <c r="AP75" s="4"/>
      <c r="AQ75" s="4"/>
      <c r="AR75" s="4"/>
      <c r="AS75" s="4"/>
      <c r="AT75" s="4"/>
    </row>
    <row r="76" spans="1:46" x14ac:dyDescent="0.2">
      <c r="A76" s="4"/>
      <c r="Y76" s="4"/>
      <c r="Z76" s="4"/>
      <c r="AA76" s="4"/>
      <c r="AB76" s="4"/>
      <c r="AC76" s="4"/>
      <c r="AD76" s="4"/>
      <c r="AE76" s="4"/>
      <c r="AF76" s="4"/>
      <c r="AG76" s="4"/>
      <c r="AH76" s="4"/>
      <c r="AI76" s="4"/>
      <c r="AJ76" s="4"/>
      <c r="AK76" s="4"/>
      <c r="AL76" s="4"/>
      <c r="AM76" s="4"/>
      <c r="AN76" s="4"/>
      <c r="AO76" s="4"/>
      <c r="AP76" s="4"/>
      <c r="AQ76" s="4"/>
      <c r="AR76" s="4"/>
      <c r="AS76" s="4"/>
      <c r="AT76" s="4"/>
    </row>
    <row r="77" spans="1:46" x14ac:dyDescent="0.2">
      <c r="A77" s="4"/>
      <c r="Y77" s="4"/>
      <c r="Z77" s="4"/>
      <c r="AA77" s="4"/>
      <c r="AB77" s="4"/>
      <c r="AC77" s="4"/>
      <c r="AD77" s="4"/>
      <c r="AE77" s="4"/>
      <c r="AF77" s="4"/>
      <c r="AG77" s="4"/>
      <c r="AH77" s="4"/>
      <c r="AI77" s="4"/>
      <c r="AJ77" s="4"/>
      <c r="AK77" s="4"/>
      <c r="AL77" s="4"/>
      <c r="AM77" s="4"/>
      <c r="AN77" s="4"/>
      <c r="AO77" s="4"/>
      <c r="AP77" s="4"/>
      <c r="AQ77" s="4"/>
      <c r="AR77" s="4"/>
      <c r="AS77" s="4"/>
      <c r="AT77" s="4"/>
    </row>
    <row r="78" spans="1:46" x14ac:dyDescent="0.2">
      <c r="A78" s="4"/>
      <c r="Y78" s="4"/>
      <c r="Z78" s="4"/>
      <c r="AA78" s="4"/>
      <c r="AB78" s="4"/>
      <c r="AC78" s="4"/>
      <c r="AD78" s="4"/>
      <c r="AE78" s="4"/>
      <c r="AF78" s="4"/>
      <c r="AG78" s="4"/>
      <c r="AH78" s="4"/>
      <c r="AI78" s="4"/>
      <c r="AJ78" s="4"/>
      <c r="AK78" s="4"/>
      <c r="AL78" s="4"/>
      <c r="AM78" s="4"/>
      <c r="AN78" s="4"/>
      <c r="AO78" s="4"/>
      <c r="AP78" s="4"/>
      <c r="AQ78" s="4"/>
      <c r="AR78" s="4"/>
      <c r="AS78" s="4"/>
      <c r="AT78" s="4"/>
    </row>
    <row r="79" spans="1:46" x14ac:dyDescent="0.2">
      <c r="A79" s="4"/>
      <c r="Y79" s="4"/>
      <c r="Z79" s="4"/>
      <c r="AA79" s="4"/>
      <c r="AB79" s="4"/>
      <c r="AC79" s="4"/>
      <c r="AD79" s="4"/>
      <c r="AE79" s="4"/>
      <c r="AF79" s="4"/>
      <c r="AG79" s="4"/>
      <c r="AH79" s="4"/>
      <c r="AI79" s="4"/>
      <c r="AJ79" s="4"/>
      <c r="AK79" s="4"/>
      <c r="AL79" s="4"/>
      <c r="AM79" s="4"/>
      <c r="AN79" s="4"/>
      <c r="AO79" s="4"/>
      <c r="AP79" s="4"/>
      <c r="AQ79" s="4"/>
      <c r="AR79" s="4"/>
      <c r="AS79" s="4"/>
      <c r="AT79" s="4"/>
    </row>
    <row r="80" spans="1:46" x14ac:dyDescent="0.2">
      <c r="A80" s="4"/>
      <c r="Y80" s="4"/>
      <c r="Z80" s="4"/>
      <c r="AA80" s="4"/>
      <c r="AB80" s="4"/>
      <c r="AC80" s="4"/>
      <c r="AD80" s="4"/>
      <c r="AE80" s="4"/>
      <c r="AF80" s="4"/>
      <c r="AG80" s="4"/>
      <c r="AH80" s="4"/>
      <c r="AI80" s="4"/>
      <c r="AJ80" s="4"/>
      <c r="AK80" s="4"/>
      <c r="AL80" s="4"/>
      <c r="AM80" s="4"/>
      <c r="AN80" s="4"/>
      <c r="AO80" s="4"/>
      <c r="AP80" s="4"/>
      <c r="AQ80" s="4"/>
      <c r="AR80" s="4"/>
      <c r="AS80" s="4"/>
      <c r="AT80" s="4"/>
    </row>
    <row r="81" spans="1:46" x14ac:dyDescent="0.2">
      <c r="A81" s="4"/>
      <c r="Y81" s="4"/>
      <c r="Z81" s="4"/>
      <c r="AA81" s="4"/>
      <c r="AB81" s="4"/>
      <c r="AC81" s="4"/>
      <c r="AD81" s="4"/>
      <c r="AE81" s="4"/>
      <c r="AF81" s="4"/>
      <c r="AG81" s="4"/>
      <c r="AH81" s="4"/>
      <c r="AI81" s="4"/>
      <c r="AJ81" s="4"/>
      <c r="AK81" s="4"/>
      <c r="AL81" s="4"/>
      <c r="AM81" s="4"/>
      <c r="AN81" s="4"/>
      <c r="AO81" s="4"/>
      <c r="AP81" s="4"/>
      <c r="AQ81" s="4"/>
      <c r="AR81" s="4"/>
      <c r="AS81" s="4"/>
      <c r="AT81" s="4"/>
    </row>
    <row r="82" spans="1:46" x14ac:dyDescent="0.2">
      <c r="A82" s="4"/>
      <c r="Y82" s="4"/>
      <c r="Z82" s="4"/>
      <c r="AA82" s="4"/>
      <c r="AB82" s="4"/>
      <c r="AC82" s="4"/>
      <c r="AD82" s="4"/>
      <c r="AE82" s="4"/>
      <c r="AF82" s="4"/>
      <c r="AG82" s="4"/>
      <c r="AH82" s="4"/>
      <c r="AI82" s="4"/>
      <c r="AJ82" s="4"/>
      <c r="AK82" s="4"/>
      <c r="AL82" s="4"/>
      <c r="AM82" s="4"/>
      <c r="AN82" s="4"/>
      <c r="AO82" s="4"/>
      <c r="AP82" s="4"/>
      <c r="AQ82" s="4"/>
      <c r="AR82" s="4"/>
      <c r="AS82" s="4"/>
      <c r="AT82" s="4"/>
    </row>
    <row r="83" spans="1:46" x14ac:dyDescent="0.2">
      <c r="A83" s="4"/>
      <c r="Y83" s="4"/>
      <c r="Z83" s="4"/>
      <c r="AA83" s="4"/>
      <c r="AB83" s="4"/>
      <c r="AC83" s="4"/>
      <c r="AD83" s="4"/>
      <c r="AE83" s="4"/>
      <c r="AF83" s="4"/>
      <c r="AG83" s="4"/>
      <c r="AH83" s="4"/>
      <c r="AI83" s="4"/>
      <c r="AJ83" s="4"/>
      <c r="AK83" s="4"/>
      <c r="AL83" s="4"/>
      <c r="AM83" s="4"/>
      <c r="AN83" s="4"/>
      <c r="AO83" s="4"/>
      <c r="AP83" s="4"/>
      <c r="AQ83" s="4"/>
      <c r="AR83" s="4"/>
      <c r="AS83" s="4"/>
      <c r="AT83" s="4"/>
    </row>
    <row r="84" spans="1:46" x14ac:dyDescent="0.2">
      <c r="A84" s="4"/>
      <c r="Y84" s="4"/>
      <c r="Z84" s="4"/>
      <c r="AA84" s="4"/>
      <c r="AB84" s="4"/>
      <c r="AC84" s="4"/>
      <c r="AD84" s="4"/>
      <c r="AE84" s="4"/>
      <c r="AF84" s="4"/>
      <c r="AG84" s="4"/>
      <c r="AH84" s="4"/>
      <c r="AI84" s="4"/>
      <c r="AJ84" s="4"/>
      <c r="AK84" s="4"/>
      <c r="AL84" s="4"/>
      <c r="AM84" s="4"/>
      <c r="AN84" s="4"/>
      <c r="AO84" s="4"/>
      <c r="AP84" s="4"/>
      <c r="AQ84" s="4"/>
      <c r="AR84" s="4"/>
      <c r="AS84" s="4"/>
      <c r="AT84" s="4"/>
    </row>
    <row r="85" spans="1:46" x14ac:dyDescent="0.2">
      <c r="A85" s="4"/>
      <c r="Y85" s="4"/>
      <c r="Z85" s="4"/>
      <c r="AA85" s="4"/>
      <c r="AB85" s="4"/>
      <c r="AC85" s="4"/>
      <c r="AD85" s="4"/>
      <c r="AE85" s="4"/>
      <c r="AF85" s="4"/>
      <c r="AG85" s="4"/>
      <c r="AH85" s="4"/>
      <c r="AI85" s="4"/>
      <c r="AJ85" s="4"/>
      <c r="AK85" s="4"/>
      <c r="AL85" s="4"/>
      <c r="AM85" s="4"/>
      <c r="AN85" s="4"/>
      <c r="AO85" s="4"/>
      <c r="AP85" s="4"/>
      <c r="AQ85" s="4"/>
      <c r="AR85" s="4"/>
      <c r="AS85" s="4"/>
      <c r="AT85" s="4"/>
    </row>
    <row r="86" spans="1:46" x14ac:dyDescent="0.2">
      <c r="A86" s="4"/>
      <c r="Y86" s="4"/>
      <c r="Z86" s="4"/>
      <c r="AA86" s="4"/>
      <c r="AB86" s="4"/>
      <c r="AC86" s="4"/>
      <c r="AD86" s="4"/>
      <c r="AE86" s="4"/>
      <c r="AF86" s="4"/>
      <c r="AG86" s="4"/>
      <c r="AH86" s="4"/>
      <c r="AI86" s="4"/>
      <c r="AJ86" s="4"/>
      <c r="AK86" s="4"/>
      <c r="AL86" s="4"/>
      <c r="AM86" s="4"/>
      <c r="AN86" s="4"/>
      <c r="AO86" s="4"/>
      <c r="AP86" s="4"/>
      <c r="AQ86" s="4"/>
      <c r="AR86" s="4"/>
      <c r="AS86" s="4"/>
      <c r="AT86" s="4"/>
    </row>
    <row r="87" spans="1:46" x14ac:dyDescent="0.2">
      <c r="A87" s="4"/>
      <c r="Y87" s="4"/>
      <c r="Z87" s="4"/>
      <c r="AA87" s="4"/>
      <c r="AB87" s="4"/>
      <c r="AC87" s="4"/>
      <c r="AD87" s="4"/>
      <c r="AE87" s="4"/>
      <c r="AF87" s="4"/>
      <c r="AG87" s="4"/>
      <c r="AH87" s="4"/>
      <c r="AI87" s="4"/>
      <c r="AJ87" s="4"/>
      <c r="AK87" s="4"/>
      <c r="AL87" s="4"/>
      <c r="AM87" s="4"/>
      <c r="AN87" s="4"/>
      <c r="AO87" s="4"/>
      <c r="AP87" s="4"/>
      <c r="AQ87" s="4"/>
      <c r="AR87" s="4"/>
      <c r="AS87" s="4"/>
      <c r="AT87" s="4"/>
    </row>
    <row r="88" spans="1:46" x14ac:dyDescent="0.2">
      <c r="A88" s="4"/>
      <c r="Y88" s="4"/>
      <c r="Z88" s="4"/>
      <c r="AA88" s="4"/>
      <c r="AB88" s="4"/>
      <c r="AC88" s="4"/>
      <c r="AD88" s="4"/>
      <c r="AE88" s="4"/>
      <c r="AF88" s="4"/>
      <c r="AG88" s="4"/>
      <c r="AH88" s="4"/>
      <c r="AI88" s="4"/>
      <c r="AJ88" s="4"/>
      <c r="AK88" s="4"/>
      <c r="AL88" s="4"/>
      <c r="AM88" s="4"/>
      <c r="AN88" s="4"/>
      <c r="AO88" s="4"/>
      <c r="AP88" s="4"/>
      <c r="AQ88" s="4"/>
      <c r="AR88" s="4"/>
      <c r="AS88" s="4"/>
      <c r="AT88" s="4"/>
    </row>
    <row r="89" spans="1:46" x14ac:dyDescent="0.2">
      <c r="A89" s="4"/>
      <c r="Y89" s="4"/>
      <c r="Z89" s="4"/>
      <c r="AA89" s="4"/>
      <c r="AB89" s="4"/>
      <c r="AC89" s="4"/>
      <c r="AD89" s="4"/>
      <c r="AE89" s="4"/>
      <c r="AF89" s="4"/>
      <c r="AG89" s="4"/>
      <c r="AH89" s="4"/>
      <c r="AI89" s="4"/>
      <c r="AJ89" s="4"/>
      <c r="AK89" s="4"/>
      <c r="AL89" s="4"/>
      <c r="AM89" s="4"/>
      <c r="AN89" s="4"/>
      <c r="AO89" s="4"/>
      <c r="AP89" s="4"/>
      <c r="AQ89" s="4"/>
      <c r="AR89" s="4"/>
      <c r="AS89" s="4"/>
      <c r="AT89" s="4"/>
    </row>
    <row r="90" spans="1:46" x14ac:dyDescent="0.2">
      <c r="A90" s="4"/>
      <c r="Y90" s="4"/>
      <c r="Z90" s="4"/>
      <c r="AA90" s="4"/>
      <c r="AB90" s="4"/>
      <c r="AC90" s="4"/>
      <c r="AD90" s="4"/>
      <c r="AE90" s="4"/>
      <c r="AF90" s="4"/>
      <c r="AG90" s="4"/>
      <c r="AH90" s="4"/>
      <c r="AI90" s="4"/>
      <c r="AJ90" s="4"/>
      <c r="AK90" s="4"/>
      <c r="AL90" s="4"/>
      <c r="AM90" s="4"/>
      <c r="AN90" s="4"/>
      <c r="AO90" s="4"/>
      <c r="AP90" s="4"/>
      <c r="AQ90" s="4"/>
      <c r="AR90" s="4"/>
      <c r="AS90" s="4"/>
      <c r="AT90" s="4"/>
    </row>
    <row r="91" spans="1:46" x14ac:dyDescent="0.2">
      <c r="A91" s="4"/>
      <c r="Y91" s="4"/>
      <c r="Z91" s="4"/>
      <c r="AA91" s="4"/>
      <c r="AB91" s="4"/>
      <c r="AC91" s="4"/>
      <c r="AD91" s="4"/>
      <c r="AE91" s="4"/>
      <c r="AF91" s="4"/>
      <c r="AG91" s="4"/>
      <c r="AH91" s="4"/>
      <c r="AI91" s="4"/>
      <c r="AJ91" s="4"/>
      <c r="AK91" s="4"/>
      <c r="AL91" s="4"/>
      <c r="AM91" s="4"/>
      <c r="AN91" s="4"/>
      <c r="AO91" s="4"/>
      <c r="AP91" s="4"/>
      <c r="AQ91" s="4"/>
      <c r="AR91" s="4"/>
      <c r="AS91" s="4"/>
      <c r="AT91" s="4"/>
    </row>
    <row r="92" spans="1:46" x14ac:dyDescent="0.2">
      <c r="A92" s="4"/>
      <c r="Y92" s="4"/>
      <c r="Z92" s="4"/>
      <c r="AA92" s="4"/>
      <c r="AB92" s="4"/>
      <c r="AC92" s="4"/>
      <c r="AD92" s="4"/>
      <c r="AE92" s="4"/>
      <c r="AF92" s="4"/>
      <c r="AG92" s="4"/>
      <c r="AH92" s="4"/>
      <c r="AI92" s="4"/>
      <c r="AJ92" s="4"/>
      <c r="AK92" s="4"/>
      <c r="AL92" s="4"/>
      <c r="AM92" s="4"/>
      <c r="AN92" s="4"/>
      <c r="AO92" s="4"/>
      <c r="AP92" s="4"/>
      <c r="AQ92" s="4"/>
      <c r="AR92" s="4"/>
      <c r="AS92" s="4"/>
      <c r="AT92" s="4"/>
    </row>
    <row r="93" spans="1:46" x14ac:dyDescent="0.2">
      <c r="A93" s="4"/>
      <c r="Y93" s="4"/>
      <c r="Z93" s="4"/>
      <c r="AA93" s="4"/>
      <c r="AB93" s="4"/>
      <c r="AC93" s="4"/>
      <c r="AD93" s="4"/>
      <c r="AE93" s="4"/>
      <c r="AF93" s="4"/>
      <c r="AG93" s="4"/>
      <c r="AH93" s="4"/>
      <c r="AI93" s="4"/>
      <c r="AJ93" s="4"/>
      <c r="AK93" s="4"/>
      <c r="AL93" s="4"/>
      <c r="AM93" s="4"/>
      <c r="AN93" s="4"/>
      <c r="AO93" s="4"/>
      <c r="AP93" s="4"/>
      <c r="AQ93" s="4"/>
      <c r="AR93" s="4"/>
      <c r="AS93" s="4"/>
      <c r="AT93" s="4"/>
    </row>
    <row r="94" spans="1:46" x14ac:dyDescent="0.2">
      <c r="A94" s="4"/>
      <c r="Y94" s="4"/>
      <c r="Z94" s="4"/>
      <c r="AA94" s="4"/>
      <c r="AB94" s="4"/>
      <c r="AC94" s="4"/>
      <c r="AD94" s="4"/>
      <c r="AE94" s="4"/>
      <c r="AF94" s="4"/>
      <c r="AG94" s="4"/>
      <c r="AH94" s="4"/>
      <c r="AI94" s="4"/>
      <c r="AJ94" s="4"/>
      <c r="AK94" s="4"/>
      <c r="AL94" s="4"/>
      <c r="AM94" s="4"/>
      <c r="AN94" s="4"/>
      <c r="AO94" s="4"/>
      <c r="AP94" s="4"/>
      <c r="AQ94" s="4"/>
      <c r="AR94" s="4"/>
      <c r="AS94" s="4"/>
      <c r="AT94" s="4"/>
    </row>
    <row r="95" spans="1:46" x14ac:dyDescent="0.2">
      <c r="A95" s="4"/>
      <c r="Y95" s="4"/>
      <c r="Z95" s="4"/>
      <c r="AA95" s="4"/>
      <c r="AB95" s="4"/>
      <c r="AC95" s="4"/>
      <c r="AD95" s="4"/>
      <c r="AE95" s="4"/>
      <c r="AF95" s="4"/>
      <c r="AG95" s="4"/>
      <c r="AH95" s="4"/>
      <c r="AI95" s="4"/>
      <c r="AJ95" s="4"/>
      <c r="AK95" s="4"/>
      <c r="AL95" s="4"/>
      <c r="AM95" s="4"/>
      <c r="AN95" s="4"/>
      <c r="AO95" s="4"/>
      <c r="AP95" s="4"/>
      <c r="AQ95" s="4"/>
      <c r="AR95" s="4"/>
      <c r="AS95" s="4"/>
      <c r="AT95" s="4"/>
    </row>
    <row r="96" spans="1:46" x14ac:dyDescent="0.2">
      <c r="A96" s="4"/>
      <c r="Y96" s="4"/>
      <c r="Z96" s="4"/>
      <c r="AA96" s="4"/>
      <c r="AB96" s="4"/>
      <c r="AC96" s="4"/>
      <c r="AD96" s="4"/>
      <c r="AE96" s="4"/>
      <c r="AF96" s="4"/>
      <c r="AG96" s="4"/>
      <c r="AH96" s="4"/>
      <c r="AI96" s="4"/>
      <c r="AJ96" s="4"/>
      <c r="AK96" s="4"/>
      <c r="AL96" s="4"/>
      <c r="AM96" s="4"/>
      <c r="AN96" s="4"/>
      <c r="AO96" s="4"/>
      <c r="AP96" s="4"/>
      <c r="AQ96" s="4"/>
      <c r="AR96" s="4"/>
      <c r="AS96" s="4"/>
      <c r="AT96" s="4"/>
    </row>
    <row r="97" spans="1:46" x14ac:dyDescent="0.2">
      <c r="A97" s="4"/>
      <c r="Y97" s="4"/>
      <c r="Z97" s="4"/>
      <c r="AA97" s="4"/>
      <c r="AB97" s="4"/>
      <c r="AC97" s="4"/>
      <c r="AD97" s="4"/>
      <c r="AE97" s="4"/>
      <c r="AF97" s="4"/>
      <c r="AG97" s="4"/>
      <c r="AH97" s="4"/>
      <c r="AI97" s="4"/>
      <c r="AJ97" s="4"/>
      <c r="AK97" s="4"/>
      <c r="AL97" s="4"/>
      <c r="AM97" s="4"/>
      <c r="AN97" s="4"/>
      <c r="AO97" s="4"/>
      <c r="AP97" s="4"/>
      <c r="AQ97" s="4"/>
      <c r="AR97" s="4"/>
      <c r="AS97" s="4"/>
      <c r="AT97" s="4"/>
    </row>
    <row r="98" spans="1:46" x14ac:dyDescent="0.2">
      <c r="A98" s="4"/>
      <c r="Y98" s="4"/>
      <c r="Z98" s="4"/>
      <c r="AA98" s="4"/>
      <c r="AB98" s="4"/>
      <c r="AC98" s="4"/>
      <c r="AD98" s="4"/>
      <c r="AE98" s="4"/>
      <c r="AF98" s="4"/>
      <c r="AG98" s="4"/>
      <c r="AH98" s="4"/>
      <c r="AI98" s="4"/>
      <c r="AJ98" s="4"/>
      <c r="AK98" s="4"/>
      <c r="AL98" s="4"/>
      <c r="AM98" s="4"/>
      <c r="AN98" s="4"/>
      <c r="AO98" s="4"/>
      <c r="AP98" s="4"/>
      <c r="AQ98" s="4"/>
      <c r="AR98" s="4"/>
      <c r="AS98" s="4"/>
      <c r="AT98" s="4"/>
    </row>
    <row r="99" spans="1:46" x14ac:dyDescent="0.2">
      <c r="A99" s="4"/>
      <c r="Y99" s="4"/>
      <c r="Z99" s="4"/>
      <c r="AA99" s="4"/>
      <c r="AB99" s="4"/>
      <c r="AC99" s="4"/>
      <c r="AD99" s="4"/>
      <c r="AE99" s="4"/>
      <c r="AF99" s="4"/>
      <c r="AG99" s="4"/>
      <c r="AH99" s="4"/>
      <c r="AI99" s="4"/>
      <c r="AJ99" s="4"/>
      <c r="AK99" s="4"/>
      <c r="AL99" s="4"/>
      <c r="AM99" s="4"/>
      <c r="AN99" s="4"/>
      <c r="AO99" s="4"/>
      <c r="AP99" s="4"/>
      <c r="AQ99" s="4"/>
      <c r="AR99" s="4"/>
      <c r="AS99" s="4"/>
      <c r="AT99" s="4"/>
    </row>
    <row r="100" spans="1:46" x14ac:dyDescent="0.2">
      <c r="A100" s="4"/>
      <c r="Y100" s="4"/>
      <c r="Z100" s="4"/>
      <c r="AA100" s="4"/>
      <c r="AB100" s="4"/>
      <c r="AC100" s="4"/>
      <c r="AD100" s="4"/>
      <c r="AE100" s="4"/>
      <c r="AF100" s="4"/>
      <c r="AG100" s="4"/>
      <c r="AH100" s="4"/>
      <c r="AI100" s="4"/>
      <c r="AJ100" s="4"/>
      <c r="AK100" s="4"/>
      <c r="AL100" s="4"/>
      <c r="AM100" s="4"/>
      <c r="AN100" s="4"/>
      <c r="AO100" s="4"/>
      <c r="AP100" s="4"/>
      <c r="AQ100" s="4"/>
      <c r="AR100" s="4"/>
      <c r="AS100" s="4"/>
      <c r="AT100" s="4"/>
    </row>
    <row r="101" spans="1:46" x14ac:dyDescent="0.2">
      <c r="A101" s="4"/>
      <c r="Y101" s="4"/>
      <c r="Z101" s="4"/>
      <c r="AA101" s="4"/>
      <c r="AB101" s="4"/>
      <c r="AC101" s="4"/>
      <c r="AD101" s="4"/>
      <c r="AE101" s="4"/>
      <c r="AF101" s="4"/>
      <c r="AG101" s="4"/>
      <c r="AH101" s="4"/>
      <c r="AI101" s="4"/>
      <c r="AJ101" s="4"/>
      <c r="AK101" s="4"/>
      <c r="AL101" s="4"/>
      <c r="AM101" s="4"/>
      <c r="AN101" s="4"/>
      <c r="AO101" s="4"/>
      <c r="AP101" s="4"/>
      <c r="AQ101" s="4"/>
      <c r="AR101" s="4"/>
      <c r="AS101" s="4"/>
      <c r="AT101" s="4"/>
    </row>
    <row r="102" spans="1:46" x14ac:dyDescent="0.2">
      <c r="A102" s="4"/>
      <c r="Y102" s="4"/>
      <c r="Z102" s="4"/>
      <c r="AA102" s="4"/>
      <c r="AB102" s="4"/>
      <c r="AC102" s="4"/>
      <c r="AD102" s="4"/>
      <c r="AE102" s="4"/>
      <c r="AF102" s="4"/>
      <c r="AG102" s="4"/>
      <c r="AH102" s="4"/>
      <c r="AI102" s="4"/>
      <c r="AJ102" s="4"/>
      <c r="AK102" s="4"/>
      <c r="AL102" s="4"/>
      <c r="AM102" s="4"/>
      <c r="AN102" s="4"/>
      <c r="AO102" s="4"/>
      <c r="AP102" s="4"/>
      <c r="AQ102" s="4"/>
      <c r="AR102" s="4"/>
      <c r="AS102" s="4"/>
      <c r="AT102" s="4"/>
    </row>
    <row r="103" spans="1:46" x14ac:dyDescent="0.2">
      <c r="A103" s="4"/>
      <c r="Y103" s="4"/>
      <c r="Z103" s="4"/>
      <c r="AA103" s="4"/>
      <c r="AB103" s="4"/>
      <c r="AC103" s="4"/>
      <c r="AD103" s="4"/>
      <c r="AE103" s="4"/>
      <c r="AF103" s="4"/>
      <c r="AG103" s="4"/>
      <c r="AH103" s="4"/>
      <c r="AI103" s="4"/>
      <c r="AJ103" s="4"/>
      <c r="AK103" s="4"/>
      <c r="AL103" s="4"/>
      <c r="AM103" s="4"/>
      <c r="AN103" s="4"/>
      <c r="AO103" s="4"/>
      <c r="AP103" s="4"/>
      <c r="AQ103" s="4"/>
      <c r="AR103" s="4"/>
      <c r="AS103" s="4"/>
      <c r="AT103" s="4"/>
    </row>
    <row r="104" spans="1:46" x14ac:dyDescent="0.2">
      <c r="A104" s="4"/>
      <c r="Y104" s="4"/>
      <c r="Z104" s="4"/>
      <c r="AA104" s="4"/>
      <c r="AB104" s="4"/>
      <c r="AC104" s="4"/>
      <c r="AD104" s="4"/>
      <c r="AE104" s="4"/>
      <c r="AF104" s="4"/>
      <c r="AG104" s="4"/>
      <c r="AH104" s="4"/>
      <c r="AI104" s="4"/>
      <c r="AJ104" s="4"/>
      <c r="AK104" s="4"/>
      <c r="AL104" s="4"/>
      <c r="AM104" s="4"/>
      <c r="AN104" s="4"/>
      <c r="AO104" s="4"/>
      <c r="AP104" s="4"/>
      <c r="AQ104" s="4"/>
      <c r="AR104" s="4"/>
      <c r="AS104" s="4"/>
      <c r="AT104" s="4"/>
    </row>
    <row r="105" spans="1:46" x14ac:dyDescent="0.2">
      <c r="A105" s="4"/>
      <c r="Y105" s="4"/>
      <c r="Z105" s="4"/>
      <c r="AA105" s="4"/>
      <c r="AB105" s="4"/>
      <c r="AC105" s="4"/>
      <c r="AD105" s="4"/>
      <c r="AE105" s="4"/>
      <c r="AF105" s="4"/>
      <c r="AG105" s="4"/>
      <c r="AH105" s="4"/>
      <c r="AI105" s="4"/>
      <c r="AJ105" s="4"/>
      <c r="AK105" s="4"/>
      <c r="AL105" s="4"/>
      <c r="AM105" s="4"/>
      <c r="AN105" s="4"/>
      <c r="AO105" s="4"/>
      <c r="AP105" s="4"/>
      <c r="AQ105" s="4"/>
      <c r="AR105" s="4"/>
      <c r="AS105" s="4"/>
      <c r="AT105" s="4"/>
    </row>
    <row r="106" spans="1:46" x14ac:dyDescent="0.2">
      <c r="A106" s="4"/>
      <c r="Y106" s="4"/>
      <c r="Z106" s="4"/>
      <c r="AA106" s="4"/>
      <c r="AB106" s="4"/>
      <c r="AC106" s="4"/>
      <c r="AD106" s="4"/>
      <c r="AE106" s="4"/>
      <c r="AF106" s="4"/>
      <c r="AG106" s="4"/>
      <c r="AH106" s="4"/>
      <c r="AI106" s="4"/>
      <c r="AJ106" s="4"/>
      <c r="AK106" s="4"/>
      <c r="AL106" s="4"/>
      <c r="AM106" s="4"/>
      <c r="AN106" s="4"/>
      <c r="AO106" s="4"/>
      <c r="AP106" s="4"/>
      <c r="AQ106" s="4"/>
      <c r="AR106" s="4"/>
      <c r="AS106" s="4"/>
      <c r="AT106" s="4"/>
    </row>
    <row r="107" spans="1:46" x14ac:dyDescent="0.2">
      <c r="A107" s="4"/>
      <c r="Y107" s="4"/>
      <c r="Z107" s="4"/>
      <c r="AA107" s="4"/>
      <c r="AB107" s="4"/>
      <c r="AC107" s="4"/>
      <c r="AD107" s="4"/>
      <c r="AE107" s="4"/>
      <c r="AF107" s="4"/>
      <c r="AG107" s="4"/>
      <c r="AH107" s="4"/>
      <c r="AI107" s="4"/>
      <c r="AJ107" s="4"/>
      <c r="AK107" s="4"/>
      <c r="AL107" s="4"/>
      <c r="AM107" s="4"/>
      <c r="AN107" s="4"/>
      <c r="AO107" s="4"/>
      <c r="AP107" s="4"/>
      <c r="AQ107" s="4"/>
      <c r="AR107" s="4"/>
      <c r="AS107" s="4"/>
      <c r="AT107" s="4"/>
    </row>
    <row r="108" spans="1:46" x14ac:dyDescent="0.2">
      <c r="A108" s="4"/>
      <c r="Y108" s="4"/>
      <c r="Z108" s="4"/>
      <c r="AA108" s="4"/>
      <c r="AB108" s="4"/>
      <c r="AC108" s="4"/>
      <c r="AD108" s="4"/>
      <c r="AE108" s="4"/>
      <c r="AF108" s="4"/>
      <c r="AG108" s="4"/>
      <c r="AH108" s="4"/>
      <c r="AI108" s="4"/>
      <c r="AJ108" s="4"/>
      <c r="AK108" s="4"/>
      <c r="AL108" s="4"/>
      <c r="AM108" s="4"/>
      <c r="AN108" s="4"/>
      <c r="AO108" s="4"/>
      <c r="AP108" s="4"/>
      <c r="AQ108" s="4"/>
      <c r="AR108" s="4"/>
      <c r="AS108" s="4"/>
      <c r="AT108" s="4"/>
    </row>
    <row r="109" spans="1:46" x14ac:dyDescent="0.2">
      <c r="A109" s="4"/>
      <c r="Y109" s="4"/>
      <c r="Z109" s="4"/>
      <c r="AA109" s="4"/>
      <c r="AB109" s="4"/>
      <c r="AC109" s="4"/>
      <c r="AD109" s="4"/>
      <c r="AE109" s="4"/>
      <c r="AF109" s="4"/>
      <c r="AG109" s="4"/>
      <c r="AH109" s="4"/>
      <c r="AI109" s="4"/>
      <c r="AJ109" s="4"/>
      <c r="AK109" s="4"/>
      <c r="AL109" s="4"/>
      <c r="AM109" s="4"/>
      <c r="AN109" s="4"/>
      <c r="AO109" s="4"/>
      <c r="AP109" s="4"/>
      <c r="AQ109" s="4"/>
      <c r="AR109" s="4"/>
      <c r="AS109" s="4"/>
      <c r="AT109" s="4"/>
    </row>
    <row r="110" spans="1:46" x14ac:dyDescent="0.2">
      <c r="A110" s="4"/>
      <c r="Y110" s="4"/>
      <c r="Z110" s="4"/>
      <c r="AA110" s="4"/>
      <c r="AB110" s="4"/>
      <c r="AC110" s="4"/>
      <c r="AD110" s="4"/>
      <c r="AE110" s="4"/>
      <c r="AF110" s="4"/>
      <c r="AG110" s="4"/>
      <c r="AH110" s="4"/>
      <c r="AI110" s="4"/>
      <c r="AJ110" s="4"/>
      <c r="AK110" s="4"/>
      <c r="AL110" s="4"/>
      <c r="AM110" s="4"/>
      <c r="AN110" s="4"/>
      <c r="AO110" s="4"/>
      <c r="AP110" s="4"/>
      <c r="AQ110" s="4"/>
      <c r="AR110" s="4"/>
      <c r="AS110" s="4"/>
      <c r="AT110" s="4"/>
    </row>
    <row r="111" spans="1:46" x14ac:dyDescent="0.2">
      <c r="A111" s="4"/>
      <c r="Y111" s="4"/>
      <c r="Z111" s="4"/>
      <c r="AA111" s="4"/>
      <c r="AB111" s="4"/>
      <c r="AC111" s="4"/>
      <c r="AD111" s="4"/>
      <c r="AE111" s="4"/>
      <c r="AF111" s="4"/>
      <c r="AG111" s="4"/>
      <c r="AH111" s="4"/>
      <c r="AI111" s="4"/>
      <c r="AJ111" s="4"/>
      <c r="AK111" s="4"/>
      <c r="AL111" s="4"/>
      <c r="AM111" s="4"/>
      <c r="AN111" s="4"/>
      <c r="AO111" s="4"/>
      <c r="AP111" s="4"/>
      <c r="AQ111" s="4"/>
      <c r="AR111" s="4"/>
      <c r="AS111" s="4"/>
      <c r="AT111" s="4"/>
    </row>
    <row r="112" spans="1:46" x14ac:dyDescent="0.2">
      <c r="A112" s="4"/>
      <c r="Y112" s="4"/>
      <c r="Z112" s="4"/>
      <c r="AA112" s="4"/>
      <c r="AB112" s="4"/>
      <c r="AC112" s="4"/>
      <c r="AD112" s="4"/>
      <c r="AE112" s="4"/>
      <c r="AF112" s="4"/>
      <c r="AG112" s="4"/>
      <c r="AH112" s="4"/>
      <c r="AI112" s="4"/>
      <c r="AJ112" s="4"/>
      <c r="AK112" s="4"/>
      <c r="AL112" s="4"/>
      <c r="AM112" s="4"/>
      <c r="AN112" s="4"/>
      <c r="AO112" s="4"/>
      <c r="AP112" s="4"/>
      <c r="AQ112" s="4"/>
      <c r="AR112" s="4"/>
      <c r="AS112" s="4"/>
      <c r="AT112" s="4"/>
    </row>
    <row r="113" spans="1:46" x14ac:dyDescent="0.2">
      <c r="A113" s="4"/>
      <c r="Y113" s="4"/>
      <c r="Z113" s="4"/>
      <c r="AA113" s="4"/>
      <c r="AB113" s="4"/>
      <c r="AC113" s="4"/>
      <c r="AD113" s="4"/>
      <c r="AE113" s="4"/>
      <c r="AF113" s="4"/>
      <c r="AG113" s="4"/>
      <c r="AH113" s="4"/>
      <c r="AI113" s="4"/>
      <c r="AJ113" s="4"/>
      <c r="AK113" s="4"/>
      <c r="AL113" s="4"/>
      <c r="AM113" s="4"/>
      <c r="AN113" s="4"/>
      <c r="AO113" s="4"/>
      <c r="AP113" s="4"/>
      <c r="AQ113" s="4"/>
      <c r="AR113" s="4"/>
      <c r="AS113" s="4"/>
      <c r="AT113" s="4"/>
    </row>
    <row r="114" spans="1:46" x14ac:dyDescent="0.2">
      <c r="A114" s="4"/>
      <c r="Y114" s="4"/>
      <c r="Z114" s="4"/>
      <c r="AA114" s="4"/>
      <c r="AB114" s="4"/>
      <c r="AC114" s="4"/>
      <c r="AD114" s="4"/>
      <c r="AE114" s="4"/>
      <c r="AF114" s="4"/>
      <c r="AG114" s="4"/>
      <c r="AH114" s="4"/>
      <c r="AI114" s="4"/>
      <c r="AJ114" s="4"/>
      <c r="AK114" s="4"/>
      <c r="AL114" s="4"/>
      <c r="AM114" s="4"/>
      <c r="AN114" s="4"/>
      <c r="AO114" s="4"/>
      <c r="AP114" s="4"/>
      <c r="AQ114" s="4"/>
      <c r="AR114" s="4"/>
      <c r="AS114" s="4"/>
      <c r="AT114" s="4"/>
    </row>
    <row r="115" spans="1:46" x14ac:dyDescent="0.2">
      <c r="A115" s="4"/>
      <c r="Y115" s="4"/>
      <c r="Z115" s="4"/>
      <c r="AA115" s="4"/>
      <c r="AB115" s="4"/>
      <c r="AC115" s="4"/>
      <c r="AD115" s="4"/>
      <c r="AE115" s="4"/>
      <c r="AF115" s="4"/>
      <c r="AG115" s="4"/>
      <c r="AH115" s="4"/>
      <c r="AI115" s="4"/>
      <c r="AJ115" s="4"/>
      <c r="AK115" s="4"/>
      <c r="AL115" s="4"/>
      <c r="AM115" s="4"/>
      <c r="AN115" s="4"/>
      <c r="AO115" s="4"/>
      <c r="AP115" s="4"/>
      <c r="AQ115" s="4"/>
      <c r="AR115" s="4"/>
      <c r="AS115" s="4"/>
      <c r="AT115" s="4"/>
    </row>
    <row r="116" spans="1:46" x14ac:dyDescent="0.2">
      <c r="A116" s="4"/>
      <c r="Y116" s="4"/>
      <c r="Z116" s="4"/>
      <c r="AA116" s="4"/>
      <c r="AB116" s="4"/>
      <c r="AC116" s="4"/>
      <c r="AD116" s="4"/>
      <c r="AE116" s="4"/>
      <c r="AF116" s="4"/>
      <c r="AG116" s="4"/>
      <c r="AH116" s="4"/>
      <c r="AI116" s="4"/>
      <c r="AJ116" s="4"/>
      <c r="AK116" s="4"/>
      <c r="AL116" s="4"/>
      <c r="AM116" s="4"/>
      <c r="AN116" s="4"/>
      <c r="AO116" s="4"/>
      <c r="AP116" s="4"/>
      <c r="AQ116" s="4"/>
      <c r="AR116" s="4"/>
      <c r="AS116" s="4"/>
      <c r="AT116" s="4"/>
    </row>
    <row r="117" spans="1:46" x14ac:dyDescent="0.2">
      <c r="A117" s="4"/>
      <c r="Y117" s="4"/>
      <c r="Z117" s="4"/>
      <c r="AA117" s="4"/>
      <c r="AB117" s="4"/>
      <c r="AC117" s="4"/>
      <c r="AD117" s="4"/>
      <c r="AE117" s="4"/>
      <c r="AF117" s="4"/>
      <c r="AG117" s="4"/>
      <c r="AH117" s="4"/>
      <c r="AI117" s="4"/>
      <c r="AJ117" s="4"/>
      <c r="AK117" s="4"/>
      <c r="AL117" s="4"/>
      <c r="AM117" s="4"/>
      <c r="AN117" s="4"/>
      <c r="AO117" s="4"/>
      <c r="AP117" s="4"/>
      <c r="AQ117" s="4"/>
      <c r="AR117" s="4"/>
      <c r="AS117" s="4"/>
      <c r="AT117" s="4"/>
    </row>
    <row r="118" spans="1:46" x14ac:dyDescent="0.2">
      <c r="A118" s="4"/>
      <c r="Y118" s="4"/>
      <c r="Z118" s="4"/>
      <c r="AA118" s="4"/>
      <c r="AB118" s="4"/>
      <c r="AC118" s="4"/>
      <c r="AD118" s="4"/>
      <c r="AE118" s="4"/>
      <c r="AF118" s="4"/>
      <c r="AG118" s="4"/>
      <c r="AH118" s="4"/>
      <c r="AI118" s="4"/>
      <c r="AJ118" s="4"/>
      <c r="AK118" s="4"/>
      <c r="AL118" s="4"/>
      <c r="AM118" s="4"/>
      <c r="AN118" s="4"/>
      <c r="AO118" s="4"/>
      <c r="AP118" s="4"/>
      <c r="AQ118" s="4"/>
      <c r="AR118" s="4"/>
      <c r="AS118" s="4"/>
      <c r="AT118" s="4"/>
    </row>
    <row r="119" spans="1:46" x14ac:dyDescent="0.2">
      <c r="A119" s="4"/>
      <c r="Y119" s="4"/>
      <c r="Z119" s="4"/>
      <c r="AA119" s="4"/>
      <c r="AB119" s="4"/>
      <c r="AC119" s="4"/>
      <c r="AD119" s="4"/>
      <c r="AE119" s="4"/>
      <c r="AF119" s="4"/>
      <c r="AG119" s="4"/>
      <c r="AH119" s="4"/>
      <c r="AI119" s="4"/>
      <c r="AJ119" s="4"/>
      <c r="AK119" s="4"/>
      <c r="AL119" s="4"/>
      <c r="AM119" s="4"/>
      <c r="AN119" s="4"/>
      <c r="AO119" s="4"/>
      <c r="AP119" s="4"/>
      <c r="AQ119" s="4"/>
      <c r="AR119" s="4"/>
      <c r="AS119" s="4"/>
      <c r="AT119" s="4"/>
    </row>
    <row r="120" spans="1:46" x14ac:dyDescent="0.2">
      <c r="A120" s="4"/>
      <c r="Y120" s="4"/>
      <c r="Z120" s="4"/>
      <c r="AA120" s="4"/>
      <c r="AB120" s="4"/>
      <c r="AC120" s="4"/>
      <c r="AD120" s="4"/>
      <c r="AE120" s="4"/>
      <c r="AF120" s="4"/>
      <c r="AG120" s="4"/>
      <c r="AH120" s="4"/>
      <c r="AI120" s="4"/>
      <c r="AJ120" s="4"/>
      <c r="AK120" s="4"/>
      <c r="AL120" s="4"/>
      <c r="AM120" s="4"/>
      <c r="AN120" s="4"/>
      <c r="AO120" s="4"/>
      <c r="AP120" s="4"/>
      <c r="AQ120" s="4"/>
      <c r="AR120" s="4"/>
      <c r="AS120" s="4"/>
      <c r="AT120" s="4"/>
    </row>
    <row r="121" spans="1:46" x14ac:dyDescent="0.2">
      <c r="A121" s="4"/>
      <c r="Y121" s="4"/>
      <c r="Z121" s="4"/>
      <c r="AA121" s="4"/>
      <c r="AB121" s="4"/>
      <c r="AC121" s="4"/>
      <c r="AD121" s="4"/>
      <c r="AE121" s="4"/>
      <c r="AF121" s="4"/>
      <c r="AG121" s="4"/>
      <c r="AH121" s="4"/>
      <c r="AI121" s="4"/>
      <c r="AJ121" s="4"/>
      <c r="AK121" s="4"/>
      <c r="AL121" s="4"/>
      <c r="AM121" s="4"/>
      <c r="AN121" s="4"/>
      <c r="AO121" s="4"/>
      <c r="AP121" s="4"/>
      <c r="AQ121" s="4"/>
      <c r="AR121" s="4"/>
      <c r="AS121" s="4"/>
      <c r="AT121" s="4"/>
    </row>
    <row r="122" spans="1:46" x14ac:dyDescent="0.2">
      <c r="A122" s="4"/>
      <c r="Y122" s="4"/>
      <c r="Z122" s="4"/>
      <c r="AA122" s="4"/>
      <c r="AB122" s="4"/>
      <c r="AC122" s="4"/>
      <c r="AD122" s="4"/>
      <c r="AE122" s="4"/>
      <c r="AF122" s="4"/>
      <c r="AG122" s="4"/>
      <c r="AH122" s="4"/>
      <c r="AI122" s="4"/>
      <c r="AJ122" s="4"/>
      <c r="AK122" s="4"/>
      <c r="AL122" s="4"/>
      <c r="AM122" s="4"/>
      <c r="AN122" s="4"/>
      <c r="AO122" s="4"/>
      <c r="AP122" s="4"/>
      <c r="AQ122" s="4"/>
      <c r="AR122" s="4"/>
      <c r="AS122" s="4"/>
      <c r="AT122" s="4"/>
    </row>
    <row r="123" spans="1:46" x14ac:dyDescent="0.2">
      <c r="A123" s="4"/>
      <c r="Y123" s="4"/>
      <c r="Z123" s="4"/>
      <c r="AA123" s="4"/>
      <c r="AB123" s="4"/>
      <c r="AC123" s="4"/>
      <c r="AD123" s="4"/>
      <c r="AE123" s="4"/>
      <c r="AF123" s="4"/>
      <c r="AG123" s="4"/>
      <c r="AH123" s="4"/>
      <c r="AI123" s="4"/>
      <c r="AJ123" s="4"/>
      <c r="AK123" s="4"/>
      <c r="AL123" s="4"/>
      <c r="AM123" s="4"/>
      <c r="AN123" s="4"/>
      <c r="AO123" s="4"/>
      <c r="AP123" s="4"/>
      <c r="AQ123" s="4"/>
      <c r="AR123" s="4"/>
      <c r="AS123" s="4"/>
      <c r="AT123" s="4"/>
    </row>
    <row r="124" spans="1:46" x14ac:dyDescent="0.2">
      <c r="A124" s="4"/>
      <c r="Y124" s="4"/>
      <c r="Z124" s="4"/>
      <c r="AA124" s="4"/>
      <c r="AB124" s="4"/>
      <c r="AC124" s="4"/>
      <c r="AD124" s="4"/>
      <c r="AE124" s="4"/>
      <c r="AF124" s="4"/>
      <c r="AG124" s="4"/>
      <c r="AH124" s="4"/>
      <c r="AI124" s="4"/>
      <c r="AJ124" s="4"/>
      <c r="AK124" s="4"/>
      <c r="AL124" s="4"/>
      <c r="AM124" s="4"/>
      <c r="AN124" s="4"/>
      <c r="AO124" s="4"/>
      <c r="AP124" s="4"/>
      <c r="AQ124" s="4"/>
      <c r="AR124" s="4"/>
      <c r="AS124" s="4"/>
      <c r="AT124" s="4"/>
    </row>
    <row r="125" spans="1:46" x14ac:dyDescent="0.2">
      <c r="A125" s="4"/>
      <c r="Y125" s="4"/>
      <c r="Z125" s="4"/>
      <c r="AA125" s="4"/>
      <c r="AB125" s="4"/>
      <c r="AC125" s="4"/>
      <c r="AD125" s="4"/>
      <c r="AE125" s="4"/>
      <c r="AF125" s="4"/>
      <c r="AG125" s="4"/>
      <c r="AH125" s="4"/>
      <c r="AI125" s="4"/>
      <c r="AJ125" s="4"/>
      <c r="AK125" s="4"/>
      <c r="AL125" s="4"/>
      <c r="AM125" s="4"/>
      <c r="AN125" s="4"/>
      <c r="AO125" s="4"/>
      <c r="AP125" s="4"/>
      <c r="AQ125" s="4"/>
      <c r="AR125" s="4"/>
      <c r="AS125" s="4"/>
      <c r="AT125" s="4"/>
    </row>
    <row r="126" spans="1:46" x14ac:dyDescent="0.2">
      <c r="A126" s="4"/>
      <c r="Y126" s="4"/>
      <c r="Z126" s="4"/>
      <c r="AA126" s="4"/>
      <c r="AB126" s="4"/>
      <c r="AC126" s="4"/>
      <c r="AD126" s="4"/>
      <c r="AE126" s="4"/>
      <c r="AF126" s="4"/>
      <c r="AG126" s="4"/>
      <c r="AH126" s="4"/>
      <c r="AI126" s="4"/>
      <c r="AJ126" s="4"/>
      <c r="AK126" s="4"/>
      <c r="AL126" s="4"/>
      <c r="AM126" s="4"/>
      <c r="AN126" s="4"/>
      <c r="AO126" s="4"/>
      <c r="AP126" s="4"/>
      <c r="AQ126" s="4"/>
      <c r="AR126" s="4"/>
      <c r="AS126" s="4"/>
      <c r="AT126" s="4"/>
    </row>
    <row r="127" spans="1:46" x14ac:dyDescent="0.2">
      <c r="A127" s="4"/>
      <c r="Y127" s="4"/>
      <c r="Z127" s="4"/>
      <c r="AA127" s="4"/>
      <c r="AB127" s="4"/>
      <c r="AC127" s="4"/>
      <c r="AD127" s="4"/>
      <c r="AE127" s="4"/>
      <c r="AF127" s="4"/>
      <c r="AG127" s="4"/>
      <c r="AH127" s="4"/>
      <c r="AI127" s="4"/>
      <c r="AJ127" s="4"/>
      <c r="AK127" s="4"/>
      <c r="AL127" s="4"/>
      <c r="AM127" s="4"/>
      <c r="AN127" s="4"/>
      <c r="AO127" s="4"/>
      <c r="AP127" s="4"/>
      <c r="AQ127" s="4"/>
      <c r="AR127" s="4"/>
      <c r="AS127" s="4"/>
      <c r="AT127" s="4"/>
    </row>
    <row r="128" spans="1:46" x14ac:dyDescent="0.2">
      <c r="A128" s="4"/>
      <c r="Y128" s="4"/>
      <c r="Z128" s="4"/>
      <c r="AA128" s="4"/>
      <c r="AB128" s="4"/>
      <c r="AC128" s="4"/>
      <c r="AD128" s="4"/>
      <c r="AE128" s="4"/>
      <c r="AF128" s="4"/>
      <c r="AG128" s="4"/>
      <c r="AH128" s="4"/>
      <c r="AI128" s="4"/>
      <c r="AJ128" s="4"/>
      <c r="AK128" s="4"/>
      <c r="AL128" s="4"/>
      <c r="AM128" s="4"/>
      <c r="AN128" s="4"/>
      <c r="AO128" s="4"/>
      <c r="AP128" s="4"/>
      <c r="AQ128" s="4"/>
      <c r="AR128" s="4"/>
      <c r="AS128" s="4"/>
      <c r="AT128" s="4"/>
    </row>
    <row r="129" spans="1:46" x14ac:dyDescent="0.2">
      <c r="A129" s="4"/>
      <c r="Y129" s="4"/>
      <c r="Z129" s="4"/>
      <c r="AA129" s="4"/>
      <c r="AB129" s="4"/>
      <c r="AC129" s="4"/>
      <c r="AD129" s="4"/>
      <c r="AE129" s="4"/>
      <c r="AF129" s="4"/>
      <c r="AG129" s="4"/>
      <c r="AH129" s="4"/>
      <c r="AI129" s="4"/>
      <c r="AJ129" s="4"/>
      <c r="AK129" s="4"/>
      <c r="AL129" s="4"/>
      <c r="AM129" s="4"/>
      <c r="AN129" s="4"/>
      <c r="AO129" s="4"/>
      <c r="AP129" s="4"/>
      <c r="AQ129" s="4"/>
      <c r="AR129" s="4"/>
      <c r="AS129" s="4"/>
      <c r="AT129" s="4"/>
    </row>
    <row r="130" spans="1:46" x14ac:dyDescent="0.2">
      <c r="A130" s="4"/>
      <c r="Y130" s="4"/>
      <c r="Z130" s="4"/>
      <c r="AA130" s="4"/>
      <c r="AB130" s="4"/>
      <c r="AC130" s="4"/>
      <c r="AD130" s="4"/>
      <c r="AE130" s="4"/>
      <c r="AF130" s="4"/>
      <c r="AG130" s="4"/>
      <c r="AH130" s="4"/>
      <c r="AI130" s="4"/>
      <c r="AJ130" s="4"/>
      <c r="AK130" s="4"/>
      <c r="AL130" s="4"/>
      <c r="AM130" s="4"/>
      <c r="AN130" s="4"/>
      <c r="AO130" s="4"/>
      <c r="AP130" s="4"/>
      <c r="AQ130" s="4"/>
      <c r="AR130" s="4"/>
      <c r="AS130" s="4"/>
      <c r="AT130" s="4"/>
    </row>
    <row r="131" spans="1:46" x14ac:dyDescent="0.2">
      <c r="A131" s="4"/>
      <c r="Y131" s="4"/>
      <c r="Z131" s="4"/>
      <c r="AA131" s="4"/>
      <c r="AB131" s="4"/>
      <c r="AC131" s="4"/>
      <c r="AD131" s="4"/>
      <c r="AE131" s="4"/>
      <c r="AF131" s="4"/>
      <c r="AG131" s="4"/>
      <c r="AH131" s="4"/>
      <c r="AI131" s="4"/>
      <c r="AJ131" s="4"/>
      <c r="AK131" s="4"/>
      <c r="AL131" s="4"/>
      <c r="AM131" s="4"/>
      <c r="AN131" s="4"/>
      <c r="AO131" s="4"/>
      <c r="AP131" s="4"/>
      <c r="AQ131" s="4"/>
      <c r="AR131" s="4"/>
      <c r="AS131" s="4"/>
      <c r="AT131" s="4"/>
    </row>
    <row r="132" spans="1:46" x14ac:dyDescent="0.2">
      <c r="A132" s="4"/>
      <c r="Y132" s="4"/>
      <c r="Z132" s="4"/>
      <c r="AA132" s="4"/>
      <c r="AB132" s="4"/>
      <c r="AC132" s="4"/>
      <c r="AD132" s="4"/>
      <c r="AE132" s="4"/>
      <c r="AF132" s="4"/>
      <c r="AG132" s="4"/>
      <c r="AH132" s="4"/>
      <c r="AI132" s="4"/>
      <c r="AJ132" s="4"/>
      <c r="AK132" s="4"/>
      <c r="AL132" s="4"/>
      <c r="AM132" s="4"/>
      <c r="AN132" s="4"/>
      <c r="AO132" s="4"/>
      <c r="AP132" s="4"/>
      <c r="AQ132" s="4"/>
      <c r="AR132" s="4"/>
      <c r="AS132" s="4"/>
      <c r="AT132" s="4"/>
    </row>
    <row r="133" spans="1:46" x14ac:dyDescent="0.2">
      <c r="A133" s="4"/>
      <c r="Y133" s="4"/>
      <c r="Z133" s="4"/>
      <c r="AA133" s="4"/>
      <c r="AB133" s="4"/>
      <c r="AC133" s="4"/>
      <c r="AD133" s="4"/>
      <c r="AE133" s="4"/>
      <c r="AF133" s="4"/>
      <c r="AG133" s="4"/>
      <c r="AH133" s="4"/>
      <c r="AI133" s="4"/>
      <c r="AJ133" s="4"/>
      <c r="AK133" s="4"/>
      <c r="AL133" s="4"/>
      <c r="AM133" s="4"/>
      <c r="AN133" s="4"/>
      <c r="AO133" s="4"/>
      <c r="AP133" s="4"/>
      <c r="AQ133" s="4"/>
      <c r="AR133" s="4"/>
      <c r="AS133" s="4"/>
      <c r="AT133" s="4"/>
    </row>
    <row r="134" spans="1:46" x14ac:dyDescent="0.2">
      <c r="A134" s="4"/>
      <c r="Y134" s="4"/>
      <c r="Z134" s="4"/>
      <c r="AA134" s="4"/>
      <c r="AB134" s="4"/>
      <c r="AC134" s="4"/>
      <c r="AD134" s="4"/>
      <c r="AE134" s="4"/>
      <c r="AF134" s="4"/>
      <c r="AG134" s="4"/>
      <c r="AH134" s="4"/>
      <c r="AI134" s="4"/>
      <c r="AJ134" s="4"/>
      <c r="AK134" s="4"/>
      <c r="AL134" s="4"/>
      <c r="AM134" s="4"/>
      <c r="AN134" s="4"/>
      <c r="AO134" s="4"/>
      <c r="AP134" s="4"/>
      <c r="AQ134" s="4"/>
      <c r="AR134" s="4"/>
      <c r="AS134" s="4"/>
      <c r="AT134" s="4"/>
    </row>
    <row r="135" spans="1:46" x14ac:dyDescent="0.2">
      <c r="A135" s="4"/>
      <c r="Y135" s="4"/>
      <c r="Z135" s="4"/>
      <c r="AA135" s="4"/>
      <c r="AB135" s="4"/>
      <c r="AC135" s="4"/>
      <c r="AD135" s="4"/>
      <c r="AE135" s="4"/>
      <c r="AF135" s="4"/>
      <c r="AG135" s="4"/>
      <c r="AH135" s="4"/>
      <c r="AI135" s="4"/>
      <c r="AJ135" s="4"/>
      <c r="AK135" s="4"/>
      <c r="AL135" s="4"/>
      <c r="AM135" s="4"/>
      <c r="AN135" s="4"/>
      <c r="AO135" s="4"/>
      <c r="AP135" s="4"/>
      <c r="AQ135" s="4"/>
      <c r="AR135" s="4"/>
      <c r="AS135" s="4"/>
      <c r="AT135" s="4"/>
    </row>
    <row r="136" spans="1:46" x14ac:dyDescent="0.2">
      <c r="A136" s="4"/>
      <c r="Y136" s="4"/>
      <c r="Z136" s="4"/>
      <c r="AA136" s="4"/>
      <c r="AB136" s="4"/>
      <c r="AC136" s="4"/>
      <c r="AD136" s="4"/>
      <c r="AE136" s="4"/>
      <c r="AF136" s="4"/>
      <c r="AG136" s="4"/>
      <c r="AH136" s="4"/>
      <c r="AI136" s="4"/>
      <c r="AJ136" s="4"/>
      <c r="AK136" s="4"/>
      <c r="AL136" s="4"/>
      <c r="AM136" s="4"/>
      <c r="AN136" s="4"/>
      <c r="AO136" s="4"/>
      <c r="AP136" s="4"/>
      <c r="AQ136" s="4"/>
      <c r="AR136" s="4"/>
      <c r="AS136" s="4"/>
      <c r="AT136" s="4"/>
    </row>
    <row r="137" spans="1:46" x14ac:dyDescent="0.2">
      <c r="A137" s="4"/>
      <c r="Y137" s="4"/>
      <c r="Z137" s="4"/>
      <c r="AA137" s="4"/>
      <c r="AB137" s="4"/>
      <c r="AC137" s="4"/>
      <c r="AD137" s="4"/>
      <c r="AE137" s="4"/>
      <c r="AF137" s="4"/>
      <c r="AG137" s="4"/>
      <c r="AH137" s="4"/>
      <c r="AI137" s="4"/>
      <c r="AJ137" s="4"/>
      <c r="AK137" s="4"/>
      <c r="AL137" s="4"/>
      <c r="AM137" s="4"/>
      <c r="AN137" s="4"/>
      <c r="AO137" s="4"/>
      <c r="AP137" s="4"/>
      <c r="AQ137" s="4"/>
      <c r="AR137" s="4"/>
      <c r="AS137" s="4"/>
      <c r="AT137" s="4"/>
    </row>
    <row r="138" spans="1:46" x14ac:dyDescent="0.2">
      <c r="A138" s="4"/>
      <c r="Y138" s="4"/>
      <c r="Z138" s="4"/>
      <c r="AA138" s="4"/>
      <c r="AB138" s="4"/>
      <c r="AC138" s="4"/>
      <c r="AD138" s="4"/>
      <c r="AE138" s="4"/>
      <c r="AF138" s="4"/>
      <c r="AG138" s="4"/>
      <c r="AH138" s="4"/>
      <c r="AI138" s="4"/>
      <c r="AJ138" s="4"/>
      <c r="AK138" s="4"/>
      <c r="AL138" s="4"/>
      <c r="AM138" s="4"/>
      <c r="AN138" s="4"/>
      <c r="AO138" s="4"/>
      <c r="AP138" s="4"/>
      <c r="AQ138" s="4"/>
      <c r="AR138" s="4"/>
      <c r="AS138" s="4"/>
      <c r="AT138" s="4"/>
    </row>
    <row r="139" spans="1:46" x14ac:dyDescent="0.2">
      <c r="A139" s="4"/>
      <c r="Y139" s="4"/>
      <c r="Z139" s="4"/>
      <c r="AA139" s="4"/>
      <c r="AB139" s="4"/>
      <c r="AC139" s="4"/>
      <c r="AD139" s="4"/>
      <c r="AE139" s="4"/>
      <c r="AF139" s="4"/>
      <c r="AG139" s="4"/>
      <c r="AH139" s="4"/>
      <c r="AI139" s="4"/>
      <c r="AJ139" s="4"/>
      <c r="AK139" s="4"/>
      <c r="AL139" s="4"/>
      <c r="AM139" s="4"/>
      <c r="AN139" s="4"/>
      <c r="AO139" s="4"/>
      <c r="AP139" s="4"/>
      <c r="AQ139" s="4"/>
      <c r="AR139" s="4"/>
      <c r="AS139" s="4"/>
      <c r="AT139" s="4"/>
    </row>
    <row r="140" spans="1:46" x14ac:dyDescent="0.2">
      <c r="A140" s="4"/>
      <c r="Y140" s="4"/>
      <c r="Z140" s="4"/>
      <c r="AA140" s="4"/>
      <c r="AB140" s="4"/>
      <c r="AC140" s="4"/>
      <c r="AD140" s="4"/>
      <c r="AE140" s="4"/>
      <c r="AF140" s="4"/>
      <c r="AG140" s="4"/>
      <c r="AH140" s="4"/>
      <c r="AI140" s="4"/>
      <c r="AJ140" s="4"/>
      <c r="AK140" s="4"/>
      <c r="AL140" s="4"/>
      <c r="AM140" s="4"/>
      <c r="AN140" s="4"/>
      <c r="AO140" s="4"/>
      <c r="AP140" s="4"/>
      <c r="AQ140" s="4"/>
      <c r="AR140" s="4"/>
      <c r="AS140" s="4"/>
      <c r="AT140" s="4"/>
    </row>
    <row r="141" spans="1:46" x14ac:dyDescent="0.2">
      <c r="A141" s="4"/>
      <c r="Y141" s="4"/>
      <c r="Z141" s="4"/>
      <c r="AA141" s="4"/>
      <c r="AB141" s="4"/>
      <c r="AC141" s="4"/>
      <c r="AD141" s="4"/>
      <c r="AE141" s="4"/>
      <c r="AF141" s="4"/>
      <c r="AG141" s="4"/>
      <c r="AH141" s="4"/>
      <c r="AI141" s="4"/>
      <c r="AJ141" s="4"/>
      <c r="AK141" s="4"/>
      <c r="AL141" s="4"/>
      <c r="AM141" s="4"/>
      <c r="AN141" s="4"/>
      <c r="AO141" s="4"/>
      <c r="AP141" s="4"/>
      <c r="AQ141" s="4"/>
      <c r="AR141" s="4"/>
      <c r="AS141" s="4"/>
      <c r="AT141" s="4"/>
    </row>
    <row r="142" spans="1:46" x14ac:dyDescent="0.2">
      <c r="A142" s="4"/>
      <c r="Y142" s="4"/>
      <c r="Z142" s="4"/>
      <c r="AA142" s="4"/>
      <c r="AB142" s="4"/>
      <c r="AC142" s="4"/>
      <c r="AD142" s="4"/>
      <c r="AE142" s="4"/>
      <c r="AF142" s="4"/>
      <c r="AG142" s="4"/>
      <c r="AH142" s="4"/>
      <c r="AI142" s="4"/>
      <c r="AJ142" s="4"/>
      <c r="AK142" s="4"/>
      <c r="AL142" s="4"/>
      <c r="AM142" s="4"/>
      <c r="AN142" s="4"/>
      <c r="AO142" s="4"/>
      <c r="AP142" s="4"/>
      <c r="AQ142" s="4"/>
      <c r="AR142" s="4"/>
      <c r="AS142" s="4"/>
      <c r="AT142" s="4"/>
    </row>
    <row r="143" spans="1:46" x14ac:dyDescent="0.2">
      <c r="A143" s="4"/>
      <c r="Y143" s="4"/>
      <c r="Z143" s="4"/>
      <c r="AA143" s="4"/>
      <c r="AB143" s="4"/>
      <c r="AC143" s="4"/>
      <c r="AD143" s="4"/>
      <c r="AE143" s="4"/>
      <c r="AF143" s="4"/>
      <c r="AG143" s="4"/>
      <c r="AH143" s="4"/>
      <c r="AI143" s="4"/>
      <c r="AJ143" s="4"/>
      <c r="AK143" s="4"/>
      <c r="AL143" s="4"/>
      <c r="AM143" s="4"/>
      <c r="AN143" s="4"/>
      <c r="AO143" s="4"/>
      <c r="AP143" s="4"/>
      <c r="AQ143" s="4"/>
      <c r="AR143" s="4"/>
      <c r="AS143" s="4"/>
      <c r="AT143" s="4"/>
    </row>
    <row r="144" spans="1:46" x14ac:dyDescent="0.2">
      <c r="A144" s="4"/>
      <c r="Y144" s="4"/>
      <c r="Z144" s="4"/>
      <c r="AA144" s="4"/>
      <c r="AB144" s="4"/>
      <c r="AC144" s="4"/>
      <c r="AD144" s="4"/>
      <c r="AE144" s="4"/>
      <c r="AF144" s="4"/>
      <c r="AG144" s="4"/>
      <c r="AH144" s="4"/>
      <c r="AI144" s="4"/>
      <c r="AJ144" s="4"/>
      <c r="AK144" s="4"/>
      <c r="AL144" s="4"/>
      <c r="AM144" s="4"/>
      <c r="AN144" s="4"/>
      <c r="AO144" s="4"/>
      <c r="AP144" s="4"/>
      <c r="AQ144" s="4"/>
      <c r="AR144" s="4"/>
      <c r="AS144" s="4"/>
      <c r="AT144" s="4"/>
    </row>
    <row r="145" spans="1:46" x14ac:dyDescent="0.2">
      <c r="A145" s="4"/>
      <c r="Y145" s="4"/>
      <c r="Z145" s="4"/>
      <c r="AA145" s="4"/>
      <c r="AB145" s="4"/>
      <c r="AC145" s="4"/>
      <c r="AD145" s="4"/>
      <c r="AE145" s="4"/>
      <c r="AF145" s="4"/>
      <c r="AG145" s="4"/>
      <c r="AH145" s="4"/>
      <c r="AI145" s="4"/>
      <c r="AJ145" s="4"/>
      <c r="AK145" s="4"/>
      <c r="AL145" s="4"/>
      <c r="AM145" s="4"/>
      <c r="AN145" s="4"/>
      <c r="AO145" s="4"/>
      <c r="AP145" s="4"/>
      <c r="AQ145" s="4"/>
      <c r="AR145" s="4"/>
      <c r="AS145" s="4"/>
      <c r="AT145" s="4"/>
    </row>
    <row r="146" spans="1:46" x14ac:dyDescent="0.2">
      <c r="A146" s="4"/>
      <c r="Y146" s="4"/>
      <c r="Z146" s="4"/>
      <c r="AA146" s="4"/>
      <c r="AB146" s="4"/>
      <c r="AC146" s="4"/>
      <c r="AD146" s="4"/>
      <c r="AE146" s="4"/>
      <c r="AF146" s="4"/>
      <c r="AG146" s="4"/>
      <c r="AH146" s="4"/>
      <c r="AI146" s="4"/>
      <c r="AJ146" s="4"/>
      <c r="AK146" s="4"/>
      <c r="AL146" s="4"/>
      <c r="AM146" s="4"/>
      <c r="AN146" s="4"/>
      <c r="AO146" s="4"/>
      <c r="AP146" s="4"/>
      <c r="AQ146" s="4"/>
      <c r="AR146" s="4"/>
      <c r="AS146" s="4"/>
      <c r="AT146" s="4"/>
    </row>
    <row r="147" spans="1:46" x14ac:dyDescent="0.2">
      <c r="A147" s="4"/>
      <c r="Y147" s="4"/>
      <c r="Z147" s="4"/>
      <c r="AA147" s="4"/>
      <c r="AB147" s="4"/>
      <c r="AC147" s="4"/>
      <c r="AD147" s="4"/>
      <c r="AE147" s="4"/>
      <c r="AF147" s="4"/>
      <c r="AG147" s="4"/>
      <c r="AH147" s="4"/>
      <c r="AI147" s="4"/>
      <c r="AJ147" s="4"/>
      <c r="AK147" s="4"/>
      <c r="AL147" s="4"/>
      <c r="AM147" s="4"/>
      <c r="AN147" s="4"/>
      <c r="AO147" s="4"/>
      <c r="AP147" s="4"/>
      <c r="AQ147" s="4"/>
      <c r="AR147" s="4"/>
      <c r="AS147" s="4"/>
      <c r="AT147" s="4"/>
    </row>
    <row r="148" spans="1:46" x14ac:dyDescent="0.2">
      <c r="A148" s="4"/>
      <c r="Y148" s="4"/>
      <c r="Z148" s="4"/>
      <c r="AA148" s="4"/>
      <c r="AB148" s="4"/>
      <c r="AC148" s="4"/>
      <c r="AD148" s="4"/>
      <c r="AE148" s="4"/>
      <c r="AF148" s="4"/>
      <c r="AG148" s="4"/>
      <c r="AH148" s="4"/>
      <c r="AI148" s="4"/>
      <c r="AJ148" s="4"/>
      <c r="AK148" s="4"/>
      <c r="AL148" s="4"/>
      <c r="AM148" s="4"/>
      <c r="AN148" s="4"/>
      <c r="AO148" s="4"/>
      <c r="AP148" s="4"/>
      <c r="AQ148" s="4"/>
      <c r="AR148" s="4"/>
      <c r="AS148" s="4"/>
      <c r="AT148" s="4"/>
    </row>
    <row r="149" spans="1:46" x14ac:dyDescent="0.2">
      <c r="A149" s="4"/>
      <c r="Y149" s="4"/>
      <c r="Z149" s="4"/>
      <c r="AA149" s="4"/>
      <c r="AB149" s="4"/>
      <c r="AC149" s="4"/>
      <c r="AD149" s="4"/>
      <c r="AE149" s="4"/>
      <c r="AF149" s="4"/>
      <c r="AG149" s="4"/>
      <c r="AH149" s="4"/>
      <c r="AI149" s="4"/>
      <c r="AJ149" s="4"/>
      <c r="AK149" s="4"/>
      <c r="AL149" s="4"/>
      <c r="AM149" s="4"/>
      <c r="AN149" s="4"/>
      <c r="AO149" s="4"/>
      <c r="AP149" s="4"/>
      <c r="AQ149" s="4"/>
      <c r="AR149" s="4"/>
      <c r="AS149" s="4"/>
      <c r="AT149" s="4"/>
    </row>
    <row r="150" spans="1:46" x14ac:dyDescent="0.2">
      <c r="A150" s="4"/>
      <c r="Y150" s="4"/>
      <c r="Z150" s="4"/>
      <c r="AA150" s="4"/>
      <c r="AB150" s="4"/>
      <c r="AC150" s="4"/>
      <c r="AD150" s="4"/>
      <c r="AE150" s="4"/>
      <c r="AF150" s="4"/>
      <c r="AG150" s="4"/>
      <c r="AH150" s="4"/>
      <c r="AI150" s="4"/>
      <c r="AJ150" s="4"/>
      <c r="AK150" s="4"/>
      <c r="AL150" s="4"/>
      <c r="AM150" s="4"/>
      <c r="AN150" s="4"/>
      <c r="AO150" s="4"/>
      <c r="AP150" s="4"/>
      <c r="AQ150" s="4"/>
      <c r="AR150" s="4"/>
      <c r="AS150" s="4"/>
      <c r="AT150" s="4"/>
    </row>
    <row r="151" spans="1:46" x14ac:dyDescent="0.2">
      <c r="A151" s="4"/>
      <c r="Y151" s="4"/>
      <c r="Z151" s="4"/>
      <c r="AA151" s="4"/>
      <c r="AB151" s="4"/>
      <c r="AC151" s="4"/>
      <c r="AD151" s="4"/>
      <c r="AE151" s="4"/>
      <c r="AF151" s="4"/>
      <c r="AG151" s="4"/>
      <c r="AH151" s="4"/>
      <c r="AI151" s="4"/>
      <c r="AJ151" s="4"/>
      <c r="AK151" s="4"/>
      <c r="AL151" s="4"/>
      <c r="AM151" s="4"/>
      <c r="AN151" s="4"/>
      <c r="AO151" s="4"/>
      <c r="AP151" s="4"/>
      <c r="AQ151" s="4"/>
      <c r="AR151" s="4"/>
      <c r="AS151" s="4"/>
      <c r="AT151" s="4"/>
    </row>
    <row r="152" spans="1:46" x14ac:dyDescent="0.2">
      <c r="A152" s="4"/>
      <c r="Y152" s="4"/>
      <c r="Z152" s="4"/>
      <c r="AA152" s="4"/>
      <c r="AB152" s="4"/>
      <c r="AC152" s="4"/>
      <c r="AD152" s="4"/>
      <c r="AE152" s="4"/>
      <c r="AF152" s="4"/>
      <c r="AG152" s="4"/>
      <c r="AH152" s="4"/>
      <c r="AI152" s="4"/>
      <c r="AJ152" s="4"/>
      <c r="AK152" s="4"/>
      <c r="AL152" s="4"/>
      <c r="AM152" s="4"/>
      <c r="AN152" s="4"/>
      <c r="AO152" s="4"/>
      <c r="AP152" s="4"/>
      <c r="AQ152" s="4"/>
      <c r="AR152" s="4"/>
      <c r="AS152" s="4"/>
      <c r="AT152" s="4"/>
    </row>
    <row r="153" spans="1:46" x14ac:dyDescent="0.2">
      <c r="A153" s="4"/>
      <c r="Y153" s="4"/>
      <c r="Z153" s="4"/>
      <c r="AA153" s="4"/>
      <c r="AB153" s="4"/>
      <c r="AC153" s="4"/>
      <c r="AD153" s="4"/>
      <c r="AE153" s="4"/>
      <c r="AF153" s="4"/>
      <c r="AG153" s="4"/>
      <c r="AH153" s="4"/>
      <c r="AI153" s="4"/>
      <c r="AJ153" s="4"/>
      <c r="AK153" s="4"/>
      <c r="AL153" s="4"/>
      <c r="AM153" s="4"/>
      <c r="AN153" s="4"/>
      <c r="AO153" s="4"/>
      <c r="AP153" s="4"/>
      <c r="AQ153" s="4"/>
      <c r="AR153" s="4"/>
      <c r="AS153" s="4"/>
      <c r="AT153" s="4"/>
    </row>
    <row r="154" spans="1:46" x14ac:dyDescent="0.2">
      <c r="A154" s="4"/>
      <c r="Y154" s="4"/>
      <c r="Z154" s="4"/>
      <c r="AA154" s="4"/>
      <c r="AB154" s="4"/>
      <c r="AC154" s="4"/>
      <c r="AD154" s="4"/>
      <c r="AE154" s="4"/>
      <c r="AF154" s="4"/>
      <c r="AG154" s="4"/>
      <c r="AH154" s="4"/>
      <c r="AI154" s="4"/>
      <c r="AJ154" s="4"/>
      <c r="AK154" s="4"/>
      <c r="AL154" s="4"/>
      <c r="AM154" s="4"/>
      <c r="AN154" s="4"/>
      <c r="AO154" s="4"/>
      <c r="AP154" s="4"/>
      <c r="AQ154" s="4"/>
      <c r="AR154" s="4"/>
      <c r="AS154" s="4"/>
      <c r="AT154" s="4"/>
    </row>
    <row r="155" spans="1:46" x14ac:dyDescent="0.2">
      <c r="A155" s="4"/>
      <c r="Y155" s="4"/>
      <c r="Z155" s="4"/>
      <c r="AA155" s="4"/>
      <c r="AB155" s="4"/>
      <c r="AC155" s="4"/>
      <c r="AD155" s="4"/>
      <c r="AE155" s="4"/>
      <c r="AF155" s="4"/>
      <c r="AG155" s="4"/>
      <c r="AH155" s="4"/>
      <c r="AI155" s="4"/>
      <c r="AJ155" s="4"/>
      <c r="AK155" s="4"/>
      <c r="AL155" s="4"/>
      <c r="AM155" s="4"/>
      <c r="AN155" s="4"/>
      <c r="AO155" s="4"/>
      <c r="AP155" s="4"/>
      <c r="AQ155" s="4"/>
      <c r="AR155" s="4"/>
      <c r="AS155" s="4"/>
      <c r="AT155" s="4"/>
    </row>
    <row r="156" spans="1:46" x14ac:dyDescent="0.2">
      <c r="A156" s="4"/>
      <c r="Y156" s="4"/>
      <c r="Z156" s="4"/>
      <c r="AA156" s="4"/>
      <c r="AB156" s="4"/>
      <c r="AC156" s="4"/>
      <c r="AD156" s="4"/>
      <c r="AE156" s="4"/>
      <c r="AF156" s="4"/>
      <c r="AG156" s="4"/>
      <c r="AH156" s="4"/>
      <c r="AI156" s="4"/>
      <c r="AJ156" s="4"/>
      <c r="AK156" s="4"/>
      <c r="AL156" s="4"/>
      <c r="AM156" s="4"/>
      <c r="AN156" s="4"/>
      <c r="AO156" s="4"/>
      <c r="AP156" s="4"/>
      <c r="AQ156" s="4"/>
      <c r="AR156" s="4"/>
      <c r="AS156" s="4"/>
      <c r="AT156" s="4"/>
    </row>
    <row r="157" spans="1:46" x14ac:dyDescent="0.2">
      <c r="A157" s="4"/>
      <c r="Y157" s="4"/>
      <c r="Z157" s="4"/>
      <c r="AA157" s="4"/>
      <c r="AB157" s="4"/>
      <c r="AC157" s="4"/>
      <c r="AD157" s="4"/>
      <c r="AE157" s="4"/>
      <c r="AF157" s="4"/>
      <c r="AG157" s="4"/>
      <c r="AH157" s="4"/>
      <c r="AI157" s="4"/>
      <c r="AJ157" s="4"/>
      <c r="AK157" s="4"/>
      <c r="AL157" s="4"/>
      <c r="AM157" s="4"/>
      <c r="AN157" s="4"/>
      <c r="AO157" s="4"/>
      <c r="AP157" s="4"/>
      <c r="AQ157" s="4"/>
      <c r="AR157" s="4"/>
      <c r="AS157" s="4"/>
      <c r="AT157" s="4"/>
    </row>
    <row r="158" spans="1:46" x14ac:dyDescent="0.2">
      <c r="A158" s="4"/>
      <c r="Y158" s="4"/>
      <c r="Z158" s="4"/>
      <c r="AA158" s="4"/>
      <c r="AB158" s="4"/>
      <c r="AC158" s="4"/>
      <c r="AD158" s="4"/>
      <c r="AE158" s="4"/>
      <c r="AF158" s="4"/>
      <c r="AG158" s="4"/>
      <c r="AH158" s="4"/>
      <c r="AI158" s="4"/>
      <c r="AJ158" s="4"/>
      <c r="AK158" s="4"/>
      <c r="AL158" s="4"/>
      <c r="AM158" s="4"/>
      <c r="AN158" s="4"/>
      <c r="AO158" s="4"/>
      <c r="AP158" s="4"/>
      <c r="AQ158" s="4"/>
      <c r="AR158" s="4"/>
      <c r="AS158" s="4"/>
      <c r="AT158" s="4"/>
    </row>
    <row r="159" spans="1:46" x14ac:dyDescent="0.2">
      <c r="A159" s="4"/>
      <c r="Y159" s="4"/>
      <c r="Z159" s="4"/>
      <c r="AA159" s="4"/>
      <c r="AB159" s="4"/>
      <c r="AC159" s="4"/>
      <c r="AD159" s="4"/>
      <c r="AE159" s="4"/>
      <c r="AF159" s="4"/>
      <c r="AG159" s="4"/>
      <c r="AH159" s="4"/>
      <c r="AI159" s="4"/>
      <c r="AJ159" s="4"/>
      <c r="AK159" s="4"/>
      <c r="AL159" s="4"/>
      <c r="AM159" s="4"/>
      <c r="AN159" s="4"/>
      <c r="AO159" s="4"/>
      <c r="AP159" s="4"/>
      <c r="AQ159" s="4"/>
      <c r="AR159" s="4"/>
      <c r="AS159" s="4"/>
      <c r="AT159" s="4"/>
    </row>
    <row r="160" spans="1:46" x14ac:dyDescent="0.2">
      <c r="A160" s="4"/>
      <c r="Y160" s="4"/>
      <c r="Z160" s="4"/>
      <c r="AA160" s="4"/>
      <c r="AB160" s="4"/>
      <c r="AC160" s="4"/>
      <c r="AD160" s="4"/>
      <c r="AE160" s="4"/>
      <c r="AF160" s="4"/>
      <c r="AG160" s="4"/>
      <c r="AH160" s="4"/>
      <c r="AI160" s="4"/>
      <c r="AJ160" s="4"/>
      <c r="AK160" s="4"/>
      <c r="AL160" s="4"/>
      <c r="AM160" s="4"/>
      <c r="AN160" s="4"/>
      <c r="AO160" s="4"/>
      <c r="AP160" s="4"/>
      <c r="AQ160" s="4"/>
      <c r="AR160" s="4"/>
      <c r="AS160" s="4"/>
      <c r="AT160" s="4"/>
    </row>
    <row r="161" spans="1:46" x14ac:dyDescent="0.2">
      <c r="A161" s="4"/>
      <c r="Y161" s="4"/>
      <c r="Z161" s="4"/>
      <c r="AA161" s="4"/>
      <c r="AB161" s="4"/>
      <c r="AC161" s="4"/>
      <c r="AD161" s="4"/>
      <c r="AE161" s="4"/>
      <c r="AF161" s="4"/>
      <c r="AG161" s="4"/>
      <c r="AH161" s="4"/>
      <c r="AI161" s="4"/>
      <c r="AJ161" s="4"/>
      <c r="AK161" s="4"/>
      <c r="AL161" s="4"/>
      <c r="AM161" s="4"/>
      <c r="AN161" s="4"/>
      <c r="AO161" s="4"/>
      <c r="AP161" s="4"/>
      <c r="AQ161" s="4"/>
      <c r="AR161" s="4"/>
      <c r="AS161" s="4"/>
      <c r="AT161" s="4"/>
    </row>
    <row r="162" spans="1:46" x14ac:dyDescent="0.2">
      <c r="A162" s="4"/>
      <c r="Y162" s="4"/>
      <c r="Z162" s="4"/>
      <c r="AA162" s="4"/>
      <c r="AB162" s="4"/>
      <c r="AC162" s="4"/>
      <c r="AD162" s="4"/>
      <c r="AE162" s="4"/>
      <c r="AF162" s="4"/>
      <c r="AG162" s="4"/>
      <c r="AH162" s="4"/>
      <c r="AI162" s="4"/>
      <c r="AJ162" s="4"/>
      <c r="AK162" s="4"/>
      <c r="AL162" s="4"/>
      <c r="AM162" s="4"/>
      <c r="AN162" s="4"/>
      <c r="AO162" s="4"/>
      <c r="AP162" s="4"/>
      <c r="AQ162" s="4"/>
      <c r="AR162" s="4"/>
      <c r="AS162" s="4"/>
      <c r="AT162" s="4"/>
    </row>
    <row r="163" spans="1:46" x14ac:dyDescent="0.2">
      <c r="A163" s="4"/>
      <c r="Y163" s="4"/>
      <c r="Z163" s="4"/>
      <c r="AA163" s="4"/>
      <c r="AB163" s="4"/>
      <c r="AC163" s="4"/>
      <c r="AD163" s="4"/>
      <c r="AE163" s="4"/>
      <c r="AF163" s="4"/>
      <c r="AG163" s="4"/>
      <c r="AH163" s="4"/>
      <c r="AI163" s="4"/>
      <c r="AJ163" s="4"/>
      <c r="AK163" s="4"/>
      <c r="AL163" s="4"/>
      <c r="AM163" s="4"/>
      <c r="AN163" s="4"/>
      <c r="AO163" s="4"/>
      <c r="AP163" s="4"/>
      <c r="AQ163" s="4"/>
      <c r="AR163" s="4"/>
      <c r="AS163" s="4"/>
      <c r="AT163" s="4"/>
    </row>
    <row r="164" spans="1:46" x14ac:dyDescent="0.2">
      <c r="A164" s="4"/>
      <c r="Y164" s="4"/>
      <c r="Z164" s="4"/>
      <c r="AA164" s="4"/>
      <c r="AB164" s="4"/>
      <c r="AC164" s="4"/>
      <c r="AD164" s="4"/>
      <c r="AE164" s="4"/>
      <c r="AF164" s="4"/>
      <c r="AG164" s="4"/>
      <c r="AH164" s="4"/>
      <c r="AI164" s="4"/>
      <c r="AJ164" s="4"/>
      <c r="AK164" s="4"/>
      <c r="AL164" s="4"/>
      <c r="AM164" s="4"/>
      <c r="AN164" s="4"/>
      <c r="AO164" s="4"/>
      <c r="AP164" s="4"/>
      <c r="AQ164" s="4"/>
      <c r="AR164" s="4"/>
      <c r="AS164" s="4"/>
      <c r="AT164" s="4"/>
    </row>
    <row r="165" spans="1:46" x14ac:dyDescent="0.2">
      <c r="A165" s="4"/>
      <c r="Y165" s="4"/>
      <c r="Z165" s="4"/>
      <c r="AA165" s="4"/>
      <c r="AB165" s="4"/>
      <c r="AC165" s="4"/>
      <c r="AD165" s="4"/>
      <c r="AE165" s="4"/>
      <c r="AF165" s="4"/>
      <c r="AG165" s="4"/>
      <c r="AH165" s="4"/>
      <c r="AI165" s="4"/>
      <c r="AJ165" s="4"/>
      <c r="AK165" s="4"/>
      <c r="AL165" s="4"/>
      <c r="AM165" s="4"/>
      <c r="AN165" s="4"/>
      <c r="AO165" s="4"/>
      <c r="AP165" s="4"/>
      <c r="AQ165" s="4"/>
      <c r="AR165" s="4"/>
      <c r="AS165" s="4"/>
      <c r="AT165" s="4"/>
    </row>
    <row r="166" spans="1:46" x14ac:dyDescent="0.2">
      <c r="A166" s="4"/>
      <c r="Y166" s="4"/>
      <c r="Z166" s="4"/>
      <c r="AA166" s="4"/>
      <c r="AB166" s="4"/>
      <c r="AC166" s="4"/>
      <c r="AD166" s="4"/>
      <c r="AE166" s="4"/>
      <c r="AF166" s="4"/>
      <c r="AG166" s="4"/>
      <c r="AH166" s="4"/>
      <c r="AI166" s="4"/>
      <c r="AJ166" s="4"/>
      <c r="AK166" s="4"/>
      <c r="AL166" s="4"/>
      <c r="AM166" s="4"/>
      <c r="AN166" s="4"/>
      <c r="AO166" s="4"/>
      <c r="AP166" s="4"/>
      <c r="AQ166" s="4"/>
      <c r="AR166" s="4"/>
      <c r="AS166" s="4"/>
      <c r="AT166" s="4"/>
    </row>
    <row r="167" spans="1:46" x14ac:dyDescent="0.2">
      <c r="A167" s="4"/>
      <c r="Y167" s="4"/>
      <c r="Z167" s="4"/>
      <c r="AA167" s="4"/>
      <c r="AB167" s="4"/>
      <c r="AC167" s="4"/>
      <c r="AD167" s="4"/>
      <c r="AE167" s="4"/>
      <c r="AF167" s="4"/>
      <c r="AG167" s="4"/>
      <c r="AH167" s="4"/>
      <c r="AI167" s="4"/>
      <c r="AJ167" s="4"/>
      <c r="AK167" s="4"/>
      <c r="AL167" s="4"/>
      <c r="AM167" s="4"/>
      <c r="AN167" s="4"/>
      <c r="AO167" s="4"/>
      <c r="AP167" s="4"/>
      <c r="AQ167" s="4"/>
      <c r="AR167" s="4"/>
      <c r="AS167" s="4"/>
      <c r="AT167" s="4"/>
    </row>
    <row r="168" spans="1:46" x14ac:dyDescent="0.2">
      <c r="A168" s="4"/>
      <c r="Y168" s="4"/>
      <c r="Z168" s="4"/>
      <c r="AA168" s="4"/>
      <c r="AB168" s="4"/>
      <c r="AC168" s="4"/>
      <c r="AD168" s="4"/>
      <c r="AE168" s="4"/>
      <c r="AF168" s="4"/>
      <c r="AG168" s="4"/>
      <c r="AH168" s="4"/>
      <c r="AI168" s="4"/>
      <c r="AJ168" s="4"/>
      <c r="AK168" s="4"/>
      <c r="AL168" s="4"/>
      <c r="AM168" s="4"/>
      <c r="AN168" s="4"/>
      <c r="AO168" s="4"/>
      <c r="AP168" s="4"/>
      <c r="AQ168" s="4"/>
      <c r="AR168" s="4"/>
      <c r="AS168" s="4"/>
      <c r="AT168" s="4"/>
    </row>
    <row r="169" spans="1:46" x14ac:dyDescent="0.2">
      <c r="A169" s="4"/>
      <c r="Y169" s="4"/>
      <c r="Z169" s="4"/>
      <c r="AA169" s="4"/>
      <c r="AB169" s="4"/>
      <c r="AC169" s="4"/>
      <c r="AD169" s="4"/>
      <c r="AE169" s="4"/>
      <c r="AF169" s="4"/>
      <c r="AG169" s="4"/>
      <c r="AH169" s="4"/>
      <c r="AI169" s="4"/>
      <c r="AJ169" s="4"/>
      <c r="AK169" s="4"/>
      <c r="AL169" s="4"/>
      <c r="AM169" s="4"/>
      <c r="AN169" s="4"/>
      <c r="AO169" s="4"/>
      <c r="AP169" s="4"/>
      <c r="AQ169" s="4"/>
      <c r="AR169" s="4"/>
      <c r="AS169" s="4"/>
      <c r="AT169" s="4"/>
    </row>
    <row r="170" spans="1:46" x14ac:dyDescent="0.2">
      <c r="A170" s="4"/>
      <c r="Y170" s="4"/>
      <c r="Z170" s="4"/>
      <c r="AA170" s="4"/>
      <c r="AB170" s="4"/>
      <c r="AC170" s="4"/>
      <c r="AD170" s="4"/>
      <c r="AE170" s="4"/>
      <c r="AF170" s="4"/>
      <c r="AG170" s="4"/>
      <c r="AH170" s="4"/>
      <c r="AI170" s="4"/>
      <c r="AJ170" s="4"/>
      <c r="AK170" s="4"/>
      <c r="AL170" s="4"/>
      <c r="AM170" s="4"/>
      <c r="AN170" s="4"/>
      <c r="AO170" s="4"/>
      <c r="AP170" s="4"/>
      <c r="AQ170" s="4"/>
      <c r="AR170" s="4"/>
      <c r="AS170" s="4"/>
      <c r="AT170" s="4"/>
    </row>
    <row r="171" spans="1:46" x14ac:dyDescent="0.2">
      <c r="A171" s="4"/>
      <c r="Y171" s="4"/>
      <c r="Z171" s="4"/>
      <c r="AA171" s="4"/>
      <c r="AB171" s="4"/>
      <c r="AC171" s="4"/>
      <c r="AD171" s="4"/>
      <c r="AE171" s="4"/>
      <c r="AF171" s="4"/>
      <c r="AG171" s="4"/>
      <c r="AH171" s="4"/>
      <c r="AI171" s="4"/>
      <c r="AJ171" s="4"/>
      <c r="AK171" s="4"/>
      <c r="AL171" s="4"/>
      <c r="AM171" s="4"/>
      <c r="AN171" s="4"/>
      <c r="AO171" s="4"/>
      <c r="AP171" s="4"/>
      <c r="AQ171" s="4"/>
      <c r="AR171" s="4"/>
      <c r="AS171" s="4"/>
      <c r="AT171" s="4"/>
    </row>
    <row r="172" spans="1:46" x14ac:dyDescent="0.2">
      <c r="A172" s="4"/>
      <c r="Y172" s="4"/>
      <c r="Z172" s="4"/>
      <c r="AA172" s="4"/>
      <c r="AB172" s="4"/>
      <c r="AC172" s="4"/>
      <c r="AD172" s="4"/>
      <c r="AE172" s="4"/>
      <c r="AF172" s="4"/>
      <c r="AG172" s="4"/>
      <c r="AH172" s="4"/>
      <c r="AI172" s="4"/>
      <c r="AJ172" s="4"/>
      <c r="AK172" s="4"/>
      <c r="AL172" s="4"/>
      <c r="AM172" s="4"/>
      <c r="AN172" s="4"/>
      <c r="AO172" s="4"/>
      <c r="AP172" s="4"/>
      <c r="AQ172" s="4"/>
      <c r="AR172" s="4"/>
      <c r="AS172" s="4"/>
      <c r="AT172" s="4"/>
    </row>
    <row r="173" spans="1:46" x14ac:dyDescent="0.2">
      <c r="A173" s="4"/>
      <c r="Y173" s="4"/>
      <c r="Z173" s="4"/>
      <c r="AA173" s="4"/>
      <c r="AB173" s="4"/>
      <c r="AC173" s="4"/>
      <c r="AD173" s="4"/>
      <c r="AE173" s="4"/>
      <c r="AF173" s="4"/>
      <c r="AG173" s="4"/>
      <c r="AH173" s="4"/>
      <c r="AI173" s="4"/>
      <c r="AJ173" s="4"/>
      <c r="AK173" s="4"/>
      <c r="AL173" s="4"/>
      <c r="AM173" s="4"/>
      <c r="AN173" s="4"/>
      <c r="AO173" s="4"/>
      <c r="AP173" s="4"/>
      <c r="AQ173" s="4"/>
      <c r="AR173" s="4"/>
      <c r="AS173" s="4"/>
      <c r="AT173" s="4"/>
    </row>
    <row r="174" spans="1:46" x14ac:dyDescent="0.2">
      <c r="A174" s="4"/>
      <c r="Y174" s="4"/>
      <c r="Z174" s="4"/>
      <c r="AA174" s="4"/>
      <c r="AB174" s="4"/>
      <c r="AC174" s="4"/>
      <c r="AD174" s="4"/>
      <c r="AE174" s="4"/>
      <c r="AF174" s="4"/>
      <c r="AG174" s="4"/>
      <c r="AH174" s="4"/>
      <c r="AI174" s="4"/>
      <c r="AJ174" s="4"/>
      <c r="AK174" s="4"/>
      <c r="AL174" s="4"/>
      <c r="AM174" s="4"/>
      <c r="AN174" s="4"/>
      <c r="AO174" s="4"/>
      <c r="AP174" s="4"/>
      <c r="AQ174" s="4"/>
      <c r="AR174" s="4"/>
      <c r="AS174" s="4"/>
      <c r="AT174" s="4"/>
    </row>
    <row r="175" spans="1:46" x14ac:dyDescent="0.2">
      <c r="A175" s="4"/>
      <c r="Y175" s="4"/>
      <c r="Z175" s="4"/>
      <c r="AA175" s="4"/>
      <c r="AB175" s="4"/>
      <c r="AC175" s="4"/>
      <c r="AD175" s="4"/>
      <c r="AE175" s="4"/>
      <c r="AF175" s="4"/>
      <c r="AG175" s="4"/>
      <c r="AH175" s="4"/>
      <c r="AI175" s="4"/>
      <c r="AJ175" s="4"/>
      <c r="AK175" s="4"/>
      <c r="AL175" s="4"/>
      <c r="AM175" s="4"/>
      <c r="AN175" s="4"/>
      <c r="AO175" s="4"/>
      <c r="AP175" s="4"/>
      <c r="AQ175" s="4"/>
      <c r="AR175" s="4"/>
      <c r="AS175" s="4"/>
      <c r="AT175" s="4"/>
    </row>
    <row r="176" spans="1:46" x14ac:dyDescent="0.2">
      <c r="A176" s="4"/>
      <c r="Y176" s="4"/>
      <c r="Z176" s="4"/>
      <c r="AA176" s="4"/>
      <c r="AB176" s="4"/>
      <c r="AC176" s="4"/>
      <c r="AD176" s="4"/>
      <c r="AE176" s="4"/>
      <c r="AF176" s="4"/>
      <c r="AG176" s="4"/>
      <c r="AH176" s="4"/>
      <c r="AI176" s="4"/>
      <c r="AJ176" s="4"/>
      <c r="AK176" s="4"/>
      <c r="AL176" s="4"/>
      <c r="AM176" s="4"/>
      <c r="AN176" s="4"/>
      <c r="AO176" s="4"/>
      <c r="AP176" s="4"/>
      <c r="AQ176" s="4"/>
      <c r="AR176" s="4"/>
      <c r="AS176" s="4"/>
      <c r="AT176" s="4"/>
    </row>
    <row r="177" spans="1:46" x14ac:dyDescent="0.2">
      <c r="A177" s="4"/>
      <c r="Y177" s="4"/>
      <c r="Z177" s="4"/>
      <c r="AA177" s="4"/>
      <c r="AB177" s="4"/>
      <c r="AC177" s="4"/>
      <c r="AD177" s="4"/>
      <c r="AE177" s="4"/>
      <c r="AF177" s="4"/>
      <c r="AG177" s="4"/>
      <c r="AH177" s="4"/>
      <c r="AI177" s="4"/>
      <c r="AJ177" s="4"/>
      <c r="AK177" s="4"/>
      <c r="AL177" s="4"/>
      <c r="AM177" s="4"/>
      <c r="AN177" s="4"/>
      <c r="AO177" s="4"/>
      <c r="AP177" s="4"/>
      <c r="AQ177" s="4"/>
      <c r="AR177" s="4"/>
      <c r="AS177" s="4"/>
      <c r="AT177" s="4"/>
    </row>
    <row r="178" spans="1:46" x14ac:dyDescent="0.2">
      <c r="A178" s="4"/>
      <c r="Y178" s="4"/>
      <c r="Z178" s="4"/>
      <c r="AA178" s="4"/>
      <c r="AB178" s="4"/>
      <c r="AC178" s="4"/>
      <c r="AD178" s="4"/>
      <c r="AE178" s="4"/>
      <c r="AF178" s="4"/>
      <c r="AG178" s="4"/>
      <c r="AH178" s="4"/>
      <c r="AI178" s="4"/>
      <c r="AJ178" s="4"/>
      <c r="AK178" s="4"/>
      <c r="AL178" s="4"/>
      <c r="AM178" s="4"/>
      <c r="AN178" s="4"/>
      <c r="AO178" s="4"/>
      <c r="AP178" s="4"/>
      <c r="AQ178" s="4"/>
      <c r="AR178" s="4"/>
      <c r="AS178" s="4"/>
      <c r="AT178" s="4"/>
    </row>
    <row r="179" spans="1:46" x14ac:dyDescent="0.2">
      <c r="A179" s="4"/>
      <c r="Y179" s="4"/>
      <c r="Z179" s="4"/>
      <c r="AA179" s="4"/>
      <c r="AB179" s="4"/>
      <c r="AC179" s="4"/>
      <c r="AD179" s="4"/>
      <c r="AE179" s="4"/>
      <c r="AF179" s="4"/>
      <c r="AG179" s="4"/>
      <c r="AH179" s="4"/>
      <c r="AI179" s="4"/>
      <c r="AJ179" s="4"/>
      <c r="AK179" s="4"/>
      <c r="AL179" s="4"/>
      <c r="AM179" s="4"/>
      <c r="AN179" s="4"/>
      <c r="AO179" s="4"/>
      <c r="AP179" s="4"/>
      <c r="AQ179" s="4"/>
      <c r="AR179" s="4"/>
      <c r="AS179" s="4"/>
      <c r="AT179" s="4"/>
    </row>
    <row r="180" spans="1:46" x14ac:dyDescent="0.2">
      <c r="A180" s="4"/>
      <c r="Y180" s="4"/>
      <c r="Z180" s="4"/>
      <c r="AA180" s="4"/>
      <c r="AB180" s="4"/>
      <c r="AC180" s="4"/>
      <c r="AD180" s="4"/>
      <c r="AE180" s="4"/>
      <c r="AF180" s="4"/>
      <c r="AG180" s="4"/>
      <c r="AH180" s="4"/>
      <c r="AI180" s="4"/>
      <c r="AJ180" s="4"/>
      <c r="AK180" s="4"/>
      <c r="AL180" s="4"/>
      <c r="AM180" s="4"/>
      <c r="AN180" s="4"/>
      <c r="AO180" s="4"/>
      <c r="AP180" s="4"/>
      <c r="AQ180" s="4"/>
      <c r="AR180" s="4"/>
      <c r="AS180" s="4"/>
      <c r="AT180" s="4"/>
    </row>
  </sheetData>
  <sheetProtection algorithmName="SHA-512" hashValue="eKFShxmOn/Zc0JqX3oQUDUgYL+38Gz8eO41WU2JxHvfACs1kT1KAmold3nWJT13+5BRsbaXKT2KpH7EIGXaGbA==" saltValue="36KehgGCqSllQmMdS9XqeQ==" spinCount="100000" sheet="1" selectLockedCells="1"/>
  <mergeCells count="3">
    <mergeCell ref="M3:Q3"/>
    <mergeCell ref="J3:L3"/>
    <mergeCell ref="B1:U1"/>
  </mergeCells>
  <phoneticPr fontId="9" type="noConversion"/>
  <conditionalFormatting sqref="F5:Q24">
    <cfRule type="expression" dxfId="109" priority="1">
      <formula>$E5=""</formula>
    </cfRule>
  </conditionalFormatting>
  <dataValidations count="3">
    <dataValidation type="list" allowBlank="1" showInputMessage="1" showErrorMessage="1" sqref="F5:F24" xr:uid="{EF88264F-637E-4F81-AD57-AC11AB2797D9}">
      <formula1>List_Custom_Type</formula1>
    </dataValidation>
    <dataValidation type="list" allowBlank="1" showInputMessage="1" showErrorMessage="1" sqref="G5:G24" xr:uid="{C16ECBD4-BA48-4E83-8B6C-47D2AF7AC03D}">
      <formula1>List_Custom_Class</formula1>
    </dataValidation>
    <dataValidation type="list" allowBlank="1" showInputMessage="1" showErrorMessage="1" sqref="I5:I24" xr:uid="{B51D72EA-574A-452F-9CC7-E65AB35BADF4}">
      <formula1>List_Custom_HVAC</formula1>
    </dataValidation>
  </dataValidations>
  <pageMargins left="0.7" right="0.7" top="0.75" bottom="0.75" header="0.3" footer="0.3"/>
  <pageSetup scale="75" fitToWidth="0" fitToHeight="0" orientation="landscape" verticalDpi="4294967293" r:id="rId1"/>
  <drawing r:id="rId2"/>
  <legacyDrawing r:id="rId3"/>
  <tableParts count="1">
    <tablePart r:id="rId4"/>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8F2B1-05F7-435A-A75E-B1B4A700E1E1}">
  <sheetPr codeName="Sheet3">
    <tabColor theme="2"/>
  </sheetPr>
  <dimension ref="B1:G40"/>
  <sheetViews>
    <sheetView showGridLines="0" showRowColHeaders="0" workbookViewId="0">
      <selection activeCell="B10" sqref="B10:B11"/>
    </sheetView>
  </sheetViews>
  <sheetFormatPr defaultRowHeight="12.75" x14ac:dyDescent="0.2"/>
  <cols>
    <col min="1" max="1" width="1.7109375" customWidth="1"/>
    <col min="2" max="2" width="29.28515625" customWidth="1"/>
    <col min="3" max="7" width="17.85546875" customWidth="1"/>
    <col min="8" max="8" width="14.7109375" customWidth="1"/>
  </cols>
  <sheetData>
    <row r="1" spans="2:7" ht="21" customHeight="1" x14ac:dyDescent="0.2">
      <c r="B1" s="253" t="s">
        <v>149</v>
      </c>
      <c r="C1" s="253"/>
      <c r="D1" s="253"/>
      <c r="E1" s="253"/>
      <c r="F1" s="67"/>
      <c r="G1" s="67"/>
    </row>
    <row r="2" spans="2:7" ht="12.75" customHeight="1" x14ac:dyDescent="0.2"/>
    <row r="3" spans="2:7" ht="12.75" customHeight="1" x14ac:dyDescent="0.2"/>
    <row r="4" spans="2:7" ht="12.75" customHeight="1" x14ac:dyDescent="0.2"/>
    <row r="7" spans="2:7" ht="12.75" customHeight="1" x14ac:dyDescent="0.2">
      <c r="B7" s="287" t="s">
        <v>570</v>
      </c>
      <c r="C7" s="287"/>
      <c r="D7" s="287"/>
      <c r="E7" s="287"/>
      <c r="F7" s="287"/>
      <c r="G7" s="287"/>
    </row>
    <row r="8" spans="2:7" x14ac:dyDescent="0.2">
      <c r="B8" s="287"/>
      <c r="C8" s="287"/>
      <c r="D8" s="287"/>
      <c r="E8" s="287"/>
      <c r="F8" s="287"/>
      <c r="G8" s="287"/>
    </row>
    <row r="10" spans="2:7" ht="28.5" customHeight="1" x14ac:dyDescent="0.2">
      <c r="B10" s="286" t="s">
        <v>150</v>
      </c>
      <c r="C10" s="54" t="s">
        <v>151</v>
      </c>
      <c r="D10" s="54" t="s">
        <v>152</v>
      </c>
      <c r="E10" s="54" t="s">
        <v>153</v>
      </c>
      <c r="F10" s="54" t="s">
        <v>154</v>
      </c>
    </row>
    <row r="11" spans="2:7" ht="28.5" customHeight="1" x14ac:dyDescent="0.2">
      <c r="B11" s="286"/>
      <c r="C11" s="230">
        <f>Table15[[#Totals],[Gross Project Cost]]</f>
        <v>0</v>
      </c>
      <c r="D11" s="230" t="e">
        <f>Table15[[#Totals],[Estimated Incentive]]</f>
        <v>#DIV/0!</v>
      </c>
      <c r="E11" s="230" t="e">
        <f>Table15[[#Totals],[Net Project Cost]]</f>
        <v>#DIV/0!</v>
      </c>
      <c r="F11" s="231">
        <f>Table16[[#Totals],[Energy Savings (kWh)]]</f>
        <v>0</v>
      </c>
    </row>
    <row r="13" spans="2:7" ht="15.75" x14ac:dyDescent="0.25">
      <c r="B13" s="291" t="s">
        <v>155</v>
      </c>
      <c r="C13" s="292"/>
      <c r="D13" s="292"/>
      <c r="E13" s="292"/>
      <c r="F13" s="292"/>
    </row>
    <row r="14" spans="2:7" ht="12.75" customHeight="1" x14ac:dyDescent="0.2">
      <c r="B14" s="93" t="s">
        <v>62</v>
      </c>
      <c r="C14" s="293" t="str">
        <f>_xlfn.CONCAT(Application!C$5, ", ",Application!$C$4, ", ",Application!$C$10, ", ",Application!$C$11)</f>
        <v xml:space="preserve">, , , </v>
      </c>
      <c r="D14" s="293"/>
      <c r="E14" s="293"/>
      <c r="F14" s="293"/>
    </row>
    <row r="15" spans="2:7" ht="25.5" customHeight="1" x14ac:dyDescent="0.2">
      <c r="B15" s="93" t="s">
        <v>156</v>
      </c>
      <c r="C15" s="293" t="str">
        <f>_xlfn.CONCAT(Application!$C$17, ", ",Application!$C$16, ", ",Application!$C$22, ", ",Application!$C$23)</f>
        <v xml:space="preserve">, , , </v>
      </c>
      <c r="D15" s="293"/>
      <c r="E15" s="293"/>
      <c r="F15" s="293"/>
    </row>
    <row r="16" spans="2:7" ht="12.75" customHeight="1" x14ac:dyDescent="0.2">
      <c r="B16" s="93" t="s">
        <v>157</v>
      </c>
      <c r="C16" s="293" t="str">
        <f>_xlfn.CONCAT(Application!$C$27, ", ",Application!$C$26, ", ",Application!$C$32, ", ",Application!$C$33)</f>
        <v xml:space="preserve">, , , </v>
      </c>
      <c r="D16" s="293"/>
      <c r="E16" s="293"/>
      <c r="F16" s="293"/>
    </row>
    <row r="18" spans="2:7" ht="15.75" x14ac:dyDescent="0.25">
      <c r="B18" s="289" t="s">
        <v>158</v>
      </c>
      <c r="C18" s="290"/>
      <c r="D18" s="290"/>
    </row>
    <row r="19" spans="2:7" x14ac:dyDescent="0.2">
      <c r="B19" s="54" t="s">
        <v>159</v>
      </c>
      <c r="C19" s="54" t="s">
        <v>90</v>
      </c>
      <c r="D19" s="54" t="s">
        <v>160</v>
      </c>
    </row>
    <row r="20" spans="2:7" x14ac:dyDescent="0.2">
      <c r="B20" s="85" t="str">
        <f>Caps!B3</f>
        <v>Prescriptive HVAC</v>
      </c>
      <c r="C20" s="231">
        <f>Caps!D3</f>
        <v>0</v>
      </c>
      <c r="D20" s="232">
        <f>Caps!E3</f>
        <v>0</v>
      </c>
    </row>
    <row r="21" spans="2:7" x14ac:dyDescent="0.2">
      <c r="B21" s="85" t="str">
        <f>Caps!B4</f>
        <v>Prescriptive Refrigeration</v>
      </c>
      <c r="C21" s="231">
        <f>Caps!D4</f>
        <v>0</v>
      </c>
      <c r="D21" s="232">
        <f>Caps!E4</f>
        <v>0</v>
      </c>
    </row>
    <row r="22" spans="2:7" x14ac:dyDescent="0.2">
      <c r="B22" s="85" t="str">
        <f>Caps!B5</f>
        <v>Prescriptive Commercial Kitchen</v>
      </c>
      <c r="C22" s="231">
        <f>Caps!D5</f>
        <v>0</v>
      </c>
      <c r="D22" s="232">
        <f>Caps!E5</f>
        <v>0</v>
      </c>
    </row>
    <row r="23" spans="2:7" x14ac:dyDescent="0.2">
      <c r="B23" s="85" t="str">
        <f>Caps!B6</f>
        <v>Prescriptive Window Film</v>
      </c>
      <c r="C23" s="231">
        <f>Caps!D6</f>
        <v>0</v>
      </c>
      <c r="D23" s="232">
        <f>Caps!E6</f>
        <v>0</v>
      </c>
    </row>
    <row r="24" spans="2:7" x14ac:dyDescent="0.2">
      <c r="B24" s="85" t="str">
        <f>Caps!B7</f>
        <v>Prescriptive Miscellaneous</v>
      </c>
      <c r="C24" s="231">
        <f>Caps!D7</f>
        <v>0</v>
      </c>
      <c r="D24" s="232">
        <f>Caps!E7</f>
        <v>0</v>
      </c>
    </row>
    <row r="25" spans="2:7" x14ac:dyDescent="0.2">
      <c r="B25" s="85" t="str">
        <f>Caps!B8</f>
        <v>Custom</v>
      </c>
      <c r="C25" s="231">
        <f>Caps!D8</f>
        <v>0</v>
      </c>
      <c r="D25" s="232">
        <f>Caps!E8</f>
        <v>0</v>
      </c>
    </row>
    <row r="26" spans="2:7" x14ac:dyDescent="0.2">
      <c r="B26" s="86" t="s">
        <v>161</v>
      </c>
      <c r="C26" s="233">
        <f>SUBTOTAL(109,Table16[Energy Savings (kWh)])</f>
        <v>0</v>
      </c>
      <c r="D26" s="234">
        <f>SUBTOTAL(109,Table16[kW Reduction])</f>
        <v>0</v>
      </c>
    </row>
    <row r="28" spans="2:7" ht="15.75" x14ac:dyDescent="0.25">
      <c r="B28" s="288" t="s">
        <v>162</v>
      </c>
      <c r="C28" s="288"/>
      <c r="D28" s="288"/>
      <c r="E28" s="288"/>
      <c r="F28" s="288"/>
      <c r="G28" s="288"/>
    </row>
    <row r="29" spans="2:7" ht="25.5" x14ac:dyDescent="0.2">
      <c r="B29" s="54" t="s">
        <v>159</v>
      </c>
      <c r="C29" s="54" t="s">
        <v>92</v>
      </c>
      <c r="D29" s="54" t="s">
        <v>163</v>
      </c>
      <c r="E29" s="54" t="s">
        <v>89</v>
      </c>
      <c r="F29" s="54" t="s">
        <v>153</v>
      </c>
      <c r="G29" s="54" t="s">
        <v>95</v>
      </c>
    </row>
    <row r="30" spans="2:7" x14ac:dyDescent="0.2">
      <c r="B30" s="85" t="str">
        <f>Caps!B3</f>
        <v>Prescriptive HVAC</v>
      </c>
      <c r="C30" s="235">
        <f>INDEX(Table_Measure_Caps[Cost Savings Total], MATCH(Table15[[#This Row],[Incentive Type]],Table_Measure_Caps[Measure Type], 0))</f>
        <v>0</v>
      </c>
      <c r="D30" s="235">
        <f>INDEX(Table_Measure_Caps[Gross Measure Cost Total], MATCH(Table15[[#This Row],[Incentive Type]],Table_Measure_Caps[Measure Type], 0))</f>
        <v>0</v>
      </c>
      <c r="E30" s="235" t="e">
        <f>Caps!J3</f>
        <v>#DIV/0!</v>
      </c>
      <c r="F30" s="235" t="e">
        <f>Table15[[#This Row],[Gross Project Cost]]-Table15[[#This Row],[Estimated Incentive]]</f>
        <v>#DIV/0!</v>
      </c>
      <c r="G30" s="236" t="str">
        <f>IFERROR(Table15[[#This Row],[Net Project Cost]]/Table15[[#This Row],[Cost Savings]],"")</f>
        <v/>
      </c>
    </row>
    <row r="31" spans="2:7" x14ac:dyDescent="0.2">
      <c r="B31" s="85" t="str">
        <f>Caps!B4</f>
        <v>Prescriptive Refrigeration</v>
      </c>
      <c r="C31" s="235">
        <f>INDEX(Table_Measure_Caps[Cost Savings Total], MATCH(Table15[[#This Row],[Incentive Type]],Table_Measure_Caps[Measure Type], 0))</f>
        <v>0</v>
      </c>
      <c r="D31" s="235">
        <f>INDEX(Table_Measure_Caps[Gross Measure Cost Total], MATCH(Table15[[#This Row],[Incentive Type]],Table_Measure_Caps[Measure Type], 0))</f>
        <v>0</v>
      </c>
      <c r="E31" s="235" t="e">
        <f>Caps!J4</f>
        <v>#DIV/0!</v>
      </c>
      <c r="F31" s="235" t="e">
        <f>Table15[[#This Row],[Gross Project Cost]]-Table15[[#This Row],[Estimated Incentive]]</f>
        <v>#DIV/0!</v>
      </c>
      <c r="G31" s="236" t="str">
        <f>IFERROR(Table15[[#This Row],[Net Project Cost]]/Table15[[#This Row],[Cost Savings]],"")</f>
        <v/>
      </c>
    </row>
    <row r="32" spans="2:7" x14ac:dyDescent="0.2">
      <c r="B32" s="85" t="str">
        <f>Caps!B5</f>
        <v>Prescriptive Commercial Kitchen</v>
      </c>
      <c r="C32" s="235">
        <f>INDEX(Table_Measure_Caps[Cost Savings Total], MATCH(Table15[[#This Row],[Incentive Type]],Table_Measure_Caps[Measure Type], 0))</f>
        <v>0</v>
      </c>
      <c r="D32" s="235">
        <f>INDEX(Table_Measure_Caps[Gross Measure Cost Total], MATCH(Table15[[#This Row],[Incentive Type]],Table_Measure_Caps[Measure Type], 0))</f>
        <v>0</v>
      </c>
      <c r="E32" s="235" t="e">
        <f>Caps!J5</f>
        <v>#DIV/0!</v>
      </c>
      <c r="F32" s="235" t="e">
        <f>Table15[[#This Row],[Gross Project Cost]]-Table15[[#This Row],[Estimated Incentive]]</f>
        <v>#DIV/0!</v>
      </c>
      <c r="G32" s="236" t="str">
        <f>IFERROR(Table15[[#This Row],[Net Project Cost]]/Table15[[#This Row],[Cost Savings]],"")</f>
        <v/>
      </c>
    </row>
    <row r="33" spans="2:7" x14ac:dyDescent="0.2">
      <c r="B33" s="85" t="str">
        <f>Caps!B6</f>
        <v>Prescriptive Window Film</v>
      </c>
      <c r="C33" s="235">
        <f>INDEX(Table_Measure_Caps[Cost Savings Total], MATCH(Table15[[#This Row],[Incentive Type]],Table_Measure_Caps[Measure Type], 0))</f>
        <v>0</v>
      </c>
      <c r="D33" s="235">
        <f>INDEX(Table_Measure_Caps[Gross Measure Cost Total], MATCH(Table15[[#This Row],[Incentive Type]],Table_Measure_Caps[Measure Type], 0))</f>
        <v>0</v>
      </c>
      <c r="E33" s="235" t="e">
        <f>Caps!J6</f>
        <v>#DIV/0!</v>
      </c>
      <c r="F33" s="235" t="e">
        <f>Table15[[#This Row],[Gross Project Cost]]-Table15[[#This Row],[Estimated Incentive]]</f>
        <v>#DIV/0!</v>
      </c>
      <c r="G33" s="236" t="str">
        <f>IFERROR(Table15[[#This Row],[Net Project Cost]]/Table15[[#This Row],[Cost Savings]],"")</f>
        <v/>
      </c>
    </row>
    <row r="34" spans="2:7" x14ac:dyDescent="0.2">
      <c r="B34" s="85" t="str">
        <f>Caps!B7</f>
        <v>Prescriptive Miscellaneous</v>
      </c>
      <c r="C34" s="235">
        <f>INDEX(Table_Measure_Caps[Cost Savings Total], MATCH(Table15[[#This Row],[Incentive Type]],Table_Measure_Caps[Measure Type], 0))</f>
        <v>0</v>
      </c>
      <c r="D34" s="235">
        <f>INDEX(Table_Measure_Caps[Gross Measure Cost Total], MATCH(Table15[[#This Row],[Incentive Type]],Table_Measure_Caps[Measure Type], 0))</f>
        <v>0</v>
      </c>
      <c r="E34" s="235" t="e">
        <f>Caps!J7</f>
        <v>#DIV/0!</v>
      </c>
      <c r="F34" s="235" t="e">
        <f>Table15[[#This Row],[Gross Project Cost]]-Table15[[#This Row],[Estimated Incentive]]</f>
        <v>#DIV/0!</v>
      </c>
      <c r="G34" s="236" t="str">
        <f>IFERROR(Table15[[#This Row],[Net Project Cost]]/Table15[[#This Row],[Cost Savings]],"")</f>
        <v/>
      </c>
    </row>
    <row r="35" spans="2:7" x14ac:dyDescent="0.2">
      <c r="B35" s="85" t="str">
        <f>Caps!B8</f>
        <v>Custom</v>
      </c>
      <c r="C35" s="235">
        <f>INDEX(Table_Measure_Caps[Cost Savings Total], MATCH(Table15[[#This Row],[Incentive Type]],Table_Measure_Caps[Measure Type], 0))</f>
        <v>0</v>
      </c>
      <c r="D35" s="235">
        <f>INDEX(Table_Measure_Caps[Gross Measure Cost Total], MATCH(Table15[[#This Row],[Incentive Type]],Table_Measure_Caps[Measure Type], 0))</f>
        <v>0</v>
      </c>
      <c r="E35" s="235" t="e">
        <f>Caps!J8</f>
        <v>#DIV/0!</v>
      </c>
      <c r="F35" s="235" t="e">
        <f>Table15[[#This Row],[Gross Project Cost]]-Table15[[#This Row],[Estimated Incentive]]</f>
        <v>#DIV/0!</v>
      </c>
      <c r="G35" s="236" t="str">
        <f>IFERROR(Table15[[#This Row],[Net Project Cost]]/Table15[[#This Row],[Cost Savings]],"")</f>
        <v/>
      </c>
    </row>
    <row r="36" spans="2:7" ht="12.75" customHeight="1" x14ac:dyDescent="0.2">
      <c r="B36" s="237"/>
      <c r="C36" s="237"/>
      <c r="D36" s="237"/>
      <c r="E36" s="237"/>
      <c r="F36" s="237"/>
      <c r="G36" s="237"/>
    </row>
    <row r="37" spans="2:7" x14ac:dyDescent="0.2">
      <c r="B37" s="86" t="s">
        <v>161</v>
      </c>
      <c r="C37" s="238">
        <f>SUBTOTAL(109,Table15[Cost Savings])</f>
        <v>0</v>
      </c>
      <c r="D37" s="238">
        <f>SUBTOTAL(109,Table15[Gross Project Cost])</f>
        <v>0</v>
      </c>
      <c r="E37" s="238" t="e">
        <f>SUBTOTAL(109,Table15[Estimated Incentive])</f>
        <v>#DIV/0!</v>
      </c>
      <c r="F37" s="238" t="e">
        <f>SUBTOTAL(109,Table15[Net Project Cost])</f>
        <v>#DIV/0!</v>
      </c>
      <c r="G37" s="239" t="e">
        <f>Table15[[#Totals],[Net Project Cost]]/Table15[[#Totals],[Cost Savings]]</f>
        <v>#DIV/0!</v>
      </c>
    </row>
    <row r="39" spans="2:7" x14ac:dyDescent="0.2">
      <c r="B39" t="s">
        <v>11</v>
      </c>
    </row>
    <row r="40" spans="2:7" x14ac:dyDescent="0.2">
      <c r="B40" t="str">
        <f>Value_Application_Version</f>
        <v>Version 3.1</v>
      </c>
    </row>
  </sheetData>
  <sheetProtection algorithmName="SHA-512" hashValue="rQbDi3PfjuOvRuQe7M4Lu8wm0uOsud3cs70ceIZbjAlTCZy2OLbhMjuwgJ0J4gnQirQa7h+MvUq++rQf1L8QGg==" saltValue="hlcnLgmMxQs6/uQsC4p32A==" spinCount="100000" sheet="1" objects="1" scenarios="1"/>
  <mergeCells count="9">
    <mergeCell ref="B10:B11"/>
    <mergeCell ref="B7:G8"/>
    <mergeCell ref="B28:G28"/>
    <mergeCell ref="B1:E1"/>
    <mergeCell ref="B18:D18"/>
    <mergeCell ref="B13:F13"/>
    <mergeCell ref="C14:F14"/>
    <mergeCell ref="C15:F15"/>
    <mergeCell ref="C16:F16"/>
  </mergeCells>
  <pageMargins left="0.25" right="0.25" top="0.75" bottom="0.75" header="0.3" footer="0.3"/>
  <pageSetup orientation="portrait" r:id="rId1"/>
  <ignoredErrors>
    <ignoredError sqref="C31:E35" calculatedColumn="1"/>
  </ignoredErrors>
  <drawing r:id="rId2"/>
  <legacyDrawing r:id="rId3"/>
  <tableParts count="2">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627DA-435C-43E4-B0B5-C3CA58855D77}">
  <sheetPr>
    <tabColor rgb="FFED1653"/>
  </sheetPr>
  <dimension ref="A1:E26"/>
  <sheetViews>
    <sheetView showGridLines="0" workbookViewId="0">
      <selection activeCell="C3" sqref="C3"/>
    </sheetView>
  </sheetViews>
  <sheetFormatPr defaultRowHeight="15" x14ac:dyDescent="0.25"/>
  <cols>
    <col min="1" max="1" width="6" style="246" bestFit="1" customWidth="1"/>
    <col min="2" max="2" width="22.42578125" style="246" bestFit="1" customWidth="1"/>
    <col min="3" max="3" width="72.85546875" style="246" bestFit="1" customWidth="1"/>
    <col min="4" max="4" width="10.7109375" style="246" bestFit="1" customWidth="1"/>
    <col min="5" max="5" width="13.28515625" style="246" bestFit="1" customWidth="1"/>
    <col min="6" max="16384" width="9.140625" style="246"/>
  </cols>
  <sheetData>
    <row r="1" spans="1:5" x14ac:dyDescent="0.25">
      <c r="A1" s="245" t="s">
        <v>572</v>
      </c>
      <c r="B1" s="245" t="s">
        <v>573</v>
      </c>
      <c r="C1" s="245" t="s">
        <v>574</v>
      </c>
      <c r="D1" s="245" t="s">
        <v>169</v>
      </c>
      <c r="E1" s="245" t="s">
        <v>575</v>
      </c>
    </row>
    <row r="2" spans="1:5" ht="45" x14ac:dyDescent="0.25">
      <c r="A2" s="247">
        <v>1</v>
      </c>
      <c r="B2" s="248" t="s">
        <v>576</v>
      </c>
      <c r="C2" s="249" t="s">
        <v>577</v>
      </c>
      <c r="D2" s="250">
        <v>45300</v>
      </c>
      <c r="E2" s="247" t="s">
        <v>578</v>
      </c>
    </row>
    <row r="3" spans="1:5" x14ac:dyDescent="0.25">
      <c r="A3" s="247">
        <v>2</v>
      </c>
      <c r="B3" s="248"/>
      <c r="C3" s="249"/>
      <c r="D3" s="250"/>
      <c r="E3" s="247"/>
    </row>
    <row r="4" spans="1:5" x14ac:dyDescent="0.25">
      <c r="A4" s="247">
        <v>3</v>
      </c>
      <c r="B4" s="248"/>
      <c r="C4" s="249"/>
      <c r="D4" s="250"/>
      <c r="E4" s="247"/>
    </row>
    <row r="5" spans="1:5" x14ac:dyDescent="0.25">
      <c r="A5" s="247">
        <v>4</v>
      </c>
      <c r="B5" s="248"/>
      <c r="C5" s="249"/>
      <c r="D5" s="250"/>
      <c r="E5" s="247"/>
    </row>
    <row r="6" spans="1:5" x14ac:dyDescent="0.25">
      <c r="A6" s="247">
        <v>5</v>
      </c>
      <c r="B6" s="248"/>
      <c r="C6" s="249"/>
      <c r="D6" s="250"/>
      <c r="E6" s="247"/>
    </row>
    <row r="7" spans="1:5" x14ac:dyDescent="0.25">
      <c r="A7" s="247">
        <v>6</v>
      </c>
      <c r="B7" s="248"/>
      <c r="C7" s="249"/>
      <c r="D7" s="250"/>
      <c r="E7" s="247"/>
    </row>
    <row r="8" spans="1:5" x14ac:dyDescent="0.25">
      <c r="A8" s="247">
        <v>7</v>
      </c>
      <c r="B8" s="248"/>
      <c r="C8" s="249"/>
      <c r="D8" s="250"/>
      <c r="E8" s="247"/>
    </row>
    <row r="9" spans="1:5" x14ac:dyDescent="0.25">
      <c r="A9" s="247">
        <v>8</v>
      </c>
      <c r="B9" s="248"/>
      <c r="C9" s="249"/>
      <c r="D9" s="247"/>
      <c r="E9" s="247"/>
    </row>
    <row r="10" spans="1:5" x14ac:dyDescent="0.25">
      <c r="A10" s="247">
        <v>9</v>
      </c>
      <c r="B10" s="248"/>
      <c r="C10" s="249"/>
      <c r="D10" s="247"/>
      <c r="E10" s="247"/>
    </row>
    <row r="11" spans="1:5" x14ac:dyDescent="0.25">
      <c r="A11" s="247">
        <v>10</v>
      </c>
      <c r="B11" s="248"/>
      <c r="C11" s="249"/>
      <c r="D11" s="247"/>
      <c r="E11" s="247"/>
    </row>
    <row r="12" spans="1:5" x14ac:dyDescent="0.25">
      <c r="A12" s="247">
        <v>11</v>
      </c>
      <c r="B12" s="248"/>
      <c r="C12" s="249"/>
      <c r="D12" s="247"/>
      <c r="E12" s="247"/>
    </row>
    <row r="13" spans="1:5" x14ac:dyDescent="0.25">
      <c r="A13" s="247">
        <v>12</v>
      </c>
      <c r="B13" s="248"/>
      <c r="C13" s="249"/>
      <c r="D13" s="247"/>
      <c r="E13" s="247"/>
    </row>
    <row r="14" spans="1:5" x14ac:dyDescent="0.25">
      <c r="A14" s="247">
        <v>13</v>
      </c>
      <c r="B14" s="248"/>
      <c r="C14" s="249"/>
      <c r="D14" s="247"/>
      <c r="E14" s="247"/>
    </row>
    <row r="15" spans="1:5" x14ac:dyDescent="0.25">
      <c r="A15" s="247">
        <v>14</v>
      </c>
      <c r="B15" s="248"/>
      <c r="C15" s="249"/>
      <c r="D15" s="247"/>
      <c r="E15" s="247"/>
    </row>
    <row r="16" spans="1:5" x14ac:dyDescent="0.25">
      <c r="A16" s="247">
        <v>15</v>
      </c>
      <c r="B16" s="248"/>
      <c r="C16" s="249"/>
      <c r="D16" s="247"/>
      <c r="E16" s="247"/>
    </row>
    <row r="17" spans="1:5" x14ac:dyDescent="0.25">
      <c r="A17" s="247">
        <v>16</v>
      </c>
      <c r="B17" s="248"/>
      <c r="C17" s="249"/>
      <c r="D17" s="247"/>
      <c r="E17" s="247"/>
    </row>
    <row r="18" spans="1:5" x14ac:dyDescent="0.25">
      <c r="A18" s="247">
        <v>17</v>
      </c>
      <c r="B18" s="248"/>
      <c r="C18" s="249"/>
      <c r="D18" s="247"/>
      <c r="E18" s="247"/>
    </row>
    <row r="19" spans="1:5" x14ac:dyDescent="0.25">
      <c r="A19" s="247">
        <v>18</v>
      </c>
      <c r="B19" s="248"/>
      <c r="C19" s="249"/>
      <c r="D19" s="247"/>
      <c r="E19" s="247"/>
    </row>
    <row r="20" spans="1:5" x14ac:dyDescent="0.25">
      <c r="A20" s="247">
        <v>19</v>
      </c>
      <c r="B20" s="248"/>
      <c r="C20" s="249"/>
      <c r="D20" s="247"/>
      <c r="E20" s="247"/>
    </row>
    <row r="21" spans="1:5" x14ac:dyDescent="0.25">
      <c r="A21" s="247">
        <v>20</v>
      </c>
      <c r="B21" s="248"/>
      <c r="C21" s="249"/>
      <c r="D21" s="247"/>
      <c r="E21" s="247"/>
    </row>
    <row r="22" spans="1:5" x14ac:dyDescent="0.25">
      <c r="A22" s="247">
        <v>21</v>
      </c>
      <c r="B22" s="248"/>
      <c r="C22" s="249"/>
      <c r="D22" s="247"/>
      <c r="E22" s="247"/>
    </row>
    <row r="23" spans="1:5" x14ac:dyDescent="0.25">
      <c r="A23" s="247">
        <v>22</v>
      </c>
      <c r="B23" s="248"/>
      <c r="C23" s="249"/>
      <c r="D23" s="247"/>
      <c r="E23" s="247"/>
    </row>
    <row r="24" spans="1:5" x14ac:dyDescent="0.25">
      <c r="A24" s="247">
        <v>23</v>
      </c>
      <c r="B24" s="248"/>
      <c r="C24" s="249"/>
      <c r="D24" s="247"/>
      <c r="E24" s="247"/>
    </row>
    <row r="25" spans="1:5" x14ac:dyDescent="0.25">
      <c r="A25" s="247">
        <v>24</v>
      </c>
      <c r="B25" s="248"/>
      <c r="C25" s="249"/>
      <c r="D25" s="247"/>
      <c r="E25" s="247"/>
    </row>
    <row r="26" spans="1:5" x14ac:dyDescent="0.25">
      <c r="A26" s="247">
        <v>25</v>
      </c>
      <c r="B26" s="248"/>
      <c r="C26" s="249"/>
      <c r="D26" s="247"/>
      <c r="E26" s="24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6B2A8-96D8-477A-8D12-8FE8C63DDC38}">
  <sheetPr>
    <tabColor rgb="FFFF0000"/>
  </sheetPr>
  <dimension ref="B1:G58"/>
  <sheetViews>
    <sheetView showGridLines="0" workbookViewId="0">
      <selection activeCell="D35" sqref="D35:D36"/>
    </sheetView>
  </sheetViews>
  <sheetFormatPr defaultRowHeight="12.75" x14ac:dyDescent="0.2"/>
  <cols>
    <col min="1" max="1" width="1.7109375" customWidth="1"/>
    <col min="2" max="2" width="18.85546875" customWidth="1"/>
    <col min="3" max="7" width="17.85546875" customWidth="1"/>
    <col min="8" max="8" width="14.7109375" customWidth="1"/>
  </cols>
  <sheetData>
    <row r="1" spans="2:7" ht="21" customHeight="1" x14ac:dyDescent="0.2">
      <c r="B1" s="253" t="s">
        <v>170</v>
      </c>
      <c r="C1" s="253"/>
      <c r="D1" s="253"/>
      <c r="E1" s="253"/>
      <c r="F1" s="67"/>
      <c r="G1" s="67"/>
    </row>
    <row r="2" spans="2:7" ht="12.75" customHeight="1" x14ac:dyDescent="0.2"/>
    <row r="3" spans="2:7" ht="12.75" customHeight="1" x14ac:dyDescent="0.2"/>
    <row r="4" spans="2:7" ht="12.75" customHeight="1" x14ac:dyDescent="0.2"/>
    <row r="5" spans="2:7" ht="12.75" customHeight="1" x14ac:dyDescent="0.2"/>
    <row r="6" spans="2:7" ht="12.75" customHeight="1" x14ac:dyDescent="0.2"/>
    <row r="7" spans="2:7" x14ac:dyDescent="0.2">
      <c r="B7" s="298" t="s">
        <v>171</v>
      </c>
      <c r="C7" s="298"/>
      <c r="D7" s="298"/>
      <c r="E7" s="298"/>
      <c r="F7" s="298"/>
      <c r="G7" s="298"/>
    </row>
    <row r="8" spans="2:7" x14ac:dyDescent="0.2">
      <c r="B8" s="298"/>
      <c r="C8" s="298"/>
      <c r="D8" s="298"/>
      <c r="E8" s="298"/>
      <c r="F8" s="298"/>
      <c r="G8" s="298"/>
    </row>
    <row r="9" spans="2:7" x14ac:dyDescent="0.2">
      <c r="B9" s="55"/>
      <c r="C9" s="55"/>
      <c r="D9" s="55"/>
      <c r="E9" s="55"/>
      <c r="F9" s="55"/>
      <c r="G9" s="55"/>
    </row>
    <row r="10" spans="2:7" ht="26.25" customHeight="1" x14ac:dyDescent="0.2">
      <c r="B10" s="300" t="s">
        <v>172</v>
      </c>
      <c r="C10" s="300"/>
      <c r="D10" s="300"/>
      <c r="E10" s="300"/>
      <c r="F10" s="300"/>
      <c r="G10" s="300"/>
    </row>
    <row r="12" spans="2:7" ht="28.5" customHeight="1" x14ac:dyDescent="0.2">
      <c r="B12" s="286" t="s">
        <v>150</v>
      </c>
      <c r="C12" s="54" t="s">
        <v>151</v>
      </c>
      <c r="D12" s="54" t="s">
        <v>152</v>
      </c>
      <c r="E12" s="54" t="s">
        <v>153</v>
      </c>
      <c r="F12" s="54" t="s">
        <v>154</v>
      </c>
    </row>
    <row r="13" spans="2:7" ht="19.5" customHeight="1" x14ac:dyDescent="0.2">
      <c r="B13" s="286"/>
      <c r="C13" s="230">
        <f>Gross_Proj_Cost</f>
        <v>0</v>
      </c>
      <c r="D13" s="230" t="e">
        <f>Total_Incentive</f>
        <v>#DIV/0!</v>
      </c>
      <c r="E13" s="230" t="e">
        <f>Net_Project_Cost</f>
        <v>#DIV/0!</v>
      </c>
      <c r="F13" s="240">
        <f>Project_Energy_Savings</f>
        <v>0</v>
      </c>
    </row>
    <row r="15" spans="2:7" ht="15.75" x14ac:dyDescent="0.25">
      <c r="B15" s="299" t="str">
        <f>Application!B3</f>
        <v>Entergy New Orleans Customer Information</v>
      </c>
      <c r="C15" s="299"/>
      <c r="D15" s="299"/>
      <c r="E15" s="299"/>
      <c r="F15" s="299"/>
    </row>
    <row r="16" spans="2:7" x14ac:dyDescent="0.2">
      <c r="B16" s="296" t="s">
        <v>14</v>
      </c>
      <c r="C16" s="296"/>
      <c r="D16" s="293">
        <f>Application!C4</f>
        <v>0</v>
      </c>
      <c r="E16" s="293"/>
      <c r="F16" s="293"/>
    </row>
    <row r="17" spans="2:6" x14ac:dyDescent="0.2">
      <c r="B17" s="296" t="s">
        <v>16</v>
      </c>
      <c r="C17" s="296"/>
      <c r="D17" s="293">
        <f>Application!C5</f>
        <v>0</v>
      </c>
      <c r="E17" s="293"/>
      <c r="F17" s="293"/>
    </row>
    <row r="18" spans="2:6" ht="12.75" customHeight="1" x14ac:dyDescent="0.2">
      <c r="B18" s="296" t="s">
        <v>40</v>
      </c>
      <c r="C18" s="296"/>
      <c r="D18" s="293" t="str">
        <f>_xlfn.CONCAT(Application!C6,", ",Application!C7,", ",Application!C8,", ",Application!C9)</f>
        <v xml:space="preserve">, , , </v>
      </c>
      <c r="E18" s="293"/>
      <c r="F18" s="293"/>
    </row>
    <row r="19" spans="2:6" x14ac:dyDescent="0.2">
      <c r="B19" s="296" t="s">
        <v>29</v>
      </c>
      <c r="C19" s="296"/>
      <c r="D19" s="293">
        <f>Application!C12</f>
        <v>0</v>
      </c>
      <c r="E19" s="293"/>
      <c r="F19" s="293"/>
    </row>
    <row r="21" spans="2:6" ht="15.75" customHeight="1" x14ac:dyDescent="0.2">
      <c r="B21" s="254" t="s">
        <v>35</v>
      </c>
      <c r="C21" s="254"/>
      <c r="D21" s="254"/>
      <c r="E21" s="254"/>
      <c r="F21" s="254"/>
    </row>
    <row r="22" spans="2:6" x14ac:dyDescent="0.2">
      <c r="B22" s="296" t="s">
        <v>37</v>
      </c>
      <c r="C22" s="296"/>
      <c r="D22" s="293">
        <f>Application!C16</f>
        <v>0</v>
      </c>
      <c r="E22" s="293"/>
      <c r="F22" s="293"/>
    </row>
    <row r="23" spans="2:6" x14ac:dyDescent="0.2">
      <c r="B23" s="296" t="s">
        <v>39</v>
      </c>
      <c r="C23" s="296"/>
      <c r="D23" s="293">
        <f>Application!C17</f>
        <v>0</v>
      </c>
      <c r="E23" s="293"/>
      <c r="F23" s="293"/>
    </row>
    <row r="24" spans="2:6" ht="12.75" customHeight="1" x14ac:dyDescent="0.2">
      <c r="B24" s="296" t="s">
        <v>40</v>
      </c>
      <c r="C24" s="296"/>
      <c r="D24" s="293" t="str">
        <f>_xlfn.CONCAT(Application!C18,", ",Application!C19,", ",Application!C20,", ",Application!C21)</f>
        <v xml:space="preserve">, , , </v>
      </c>
      <c r="E24" s="293"/>
      <c r="F24" s="293"/>
    </row>
    <row r="25" spans="2:6" x14ac:dyDescent="0.2">
      <c r="B25" s="296" t="s">
        <v>46</v>
      </c>
      <c r="C25" s="296"/>
      <c r="D25" s="293">
        <f>Application!C24</f>
        <v>0</v>
      </c>
      <c r="E25" s="293"/>
      <c r="F25" s="293"/>
    </row>
    <row r="27" spans="2:6" ht="15.75" customHeight="1" x14ac:dyDescent="0.2">
      <c r="B27" s="254" t="s">
        <v>60</v>
      </c>
      <c r="C27" s="254"/>
      <c r="D27" s="254"/>
      <c r="E27" s="254"/>
      <c r="F27" s="254"/>
    </row>
    <row r="28" spans="2:6" x14ac:dyDescent="0.2">
      <c r="B28" s="296" t="s">
        <v>173</v>
      </c>
      <c r="C28" s="296"/>
      <c r="D28" s="293">
        <f>Application!F32</f>
        <v>0</v>
      </c>
      <c r="E28" s="293"/>
      <c r="F28" s="293"/>
    </row>
    <row r="29" spans="2:6" x14ac:dyDescent="0.2">
      <c r="B29" s="296" t="s">
        <v>174</v>
      </c>
      <c r="C29" s="296"/>
      <c r="D29" s="293">
        <f>Application!F33</f>
        <v>0</v>
      </c>
      <c r="E29" s="293"/>
      <c r="F29" s="293"/>
    </row>
    <row r="30" spans="2:6" x14ac:dyDescent="0.2">
      <c r="B30" s="296" t="s">
        <v>40</v>
      </c>
      <c r="C30" s="296"/>
      <c r="D30" s="293" t="str">
        <f>IF(D28="Customer",D18,IF(D28="Trade Ally/Contractor",D24,IF(D28="Additional Contact",_xlfn.CONCAT(Application!C28,", ",Application!C29,", ",Application!C30,", ",Application!C31),IF(D28="Job Site",_xlfn.CONCAT(Application!F16,", ",Application!F17,", ",Application!F18,", ",Application!F19),""))))</f>
        <v/>
      </c>
      <c r="E30" s="293"/>
      <c r="F30" s="293"/>
    </row>
    <row r="31" spans="2:6" x14ac:dyDescent="0.2">
      <c r="B31" s="296" t="s">
        <v>65</v>
      </c>
      <c r="C31" s="296"/>
      <c r="D31" s="293">
        <f>Application!F34</f>
        <v>0</v>
      </c>
      <c r="E31" s="293"/>
      <c r="F31" s="293"/>
    </row>
    <row r="32" spans="2:6" x14ac:dyDescent="0.2">
      <c r="B32" s="296" t="s">
        <v>67</v>
      </c>
      <c r="C32" s="296"/>
      <c r="D32" s="293">
        <f>Application!F35</f>
        <v>0</v>
      </c>
      <c r="E32" s="293"/>
      <c r="F32" s="293"/>
    </row>
    <row r="33" spans="2:7" x14ac:dyDescent="0.2">
      <c r="B33" s="296" t="s">
        <v>69</v>
      </c>
      <c r="C33" s="296"/>
      <c r="D33" s="293">
        <f>Application!F36</f>
        <v>0</v>
      </c>
      <c r="E33" s="293"/>
      <c r="F33" s="293"/>
    </row>
    <row r="35" spans="2:7" ht="12.75" customHeight="1" x14ac:dyDescent="0.2">
      <c r="B35" s="294" t="s">
        <v>175</v>
      </c>
      <c r="C35" s="294"/>
      <c r="D35" s="295"/>
    </row>
    <row r="36" spans="2:7" x14ac:dyDescent="0.2">
      <c r="B36" s="294"/>
      <c r="C36" s="294"/>
      <c r="D36" s="295"/>
    </row>
    <row r="38" spans="2:7" ht="11.25" customHeight="1" x14ac:dyDescent="0.2">
      <c r="B38" s="263" t="s">
        <v>176</v>
      </c>
      <c r="C38" s="263"/>
      <c r="D38" s="263"/>
      <c r="E38" s="263"/>
      <c r="F38" s="263"/>
      <c r="G38" s="263"/>
    </row>
    <row r="39" spans="2:7" x14ac:dyDescent="0.2">
      <c r="B39" s="263"/>
      <c r="C39" s="263"/>
      <c r="D39" s="263"/>
      <c r="E39" s="263"/>
      <c r="F39" s="263"/>
      <c r="G39" s="263"/>
    </row>
    <row r="40" spans="2:7" x14ac:dyDescent="0.2">
      <c r="B40" s="263"/>
      <c r="C40" s="263"/>
      <c r="D40" s="263"/>
      <c r="E40" s="263"/>
      <c r="F40" s="263"/>
      <c r="G40" s="263"/>
    </row>
    <row r="41" spans="2:7" x14ac:dyDescent="0.2">
      <c r="B41" s="263"/>
      <c r="C41" s="263"/>
      <c r="D41" s="263"/>
      <c r="E41" s="263"/>
      <c r="F41" s="263"/>
      <c r="G41" s="263"/>
    </row>
    <row r="42" spans="2:7" x14ac:dyDescent="0.2">
      <c r="B42" s="263"/>
      <c r="C42" s="263"/>
      <c r="D42" s="263"/>
      <c r="E42" s="263"/>
      <c r="F42" s="263"/>
      <c r="G42" s="263"/>
    </row>
    <row r="43" spans="2:7" x14ac:dyDescent="0.2">
      <c r="B43" s="76" t="s">
        <v>168</v>
      </c>
      <c r="C43" s="76"/>
      <c r="F43" s="76" t="s">
        <v>169</v>
      </c>
      <c r="G43" s="92"/>
    </row>
    <row r="44" spans="2:7" x14ac:dyDescent="0.2">
      <c r="B44" s="297"/>
      <c r="C44" s="297"/>
      <c r="D44" s="297"/>
      <c r="F44" s="50"/>
      <c r="G44" s="92"/>
    </row>
    <row r="45" spans="2:7" x14ac:dyDescent="0.2">
      <c r="B45" s="92"/>
      <c r="C45" s="92"/>
      <c r="D45" s="92"/>
      <c r="E45" s="92"/>
      <c r="F45" s="92"/>
      <c r="G45" s="92"/>
    </row>
    <row r="46" spans="2:7" x14ac:dyDescent="0.2">
      <c r="B46" t="s">
        <v>11</v>
      </c>
    </row>
    <row r="47" spans="2:7" x14ac:dyDescent="0.2">
      <c r="B47" t="str">
        <f>Value_Application_Version</f>
        <v>Version 3.1</v>
      </c>
    </row>
    <row r="49" spans="3:5" x14ac:dyDescent="0.2">
      <c r="C49" s="36"/>
    </row>
    <row r="51" spans="3:5" x14ac:dyDescent="0.2">
      <c r="C51" s="34"/>
    </row>
    <row r="54" spans="3:5" x14ac:dyDescent="0.2">
      <c r="D54" s="36"/>
      <c r="E54" s="36"/>
    </row>
    <row r="57" spans="3:5" x14ac:dyDescent="0.2">
      <c r="D57" s="36"/>
    </row>
    <row r="58" spans="3:5" x14ac:dyDescent="0.2">
      <c r="D58" s="36"/>
    </row>
  </sheetData>
  <mergeCells count="39">
    <mergeCell ref="B1:E1"/>
    <mergeCell ref="B7:G8"/>
    <mergeCell ref="B12:B13"/>
    <mergeCell ref="B15:F15"/>
    <mergeCell ref="B10:G10"/>
    <mergeCell ref="B21:F21"/>
    <mergeCell ref="B19:C19"/>
    <mergeCell ref="B16:C16"/>
    <mergeCell ref="B17:C17"/>
    <mergeCell ref="B18:C18"/>
    <mergeCell ref="B22:C22"/>
    <mergeCell ref="B23:C23"/>
    <mergeCell ref="B24:C24"/>
    <mergeCell ref="D24:F24"/>
    <mergeCell ref="D25:F25"/>
    <mergeCell ref="B27:F27"/>
    <mergeCell ref="D29:F29"/>
    <mergeCell ref="B44:D44"/>
    <mergeCell ref="D16:F16"/>
    <mergeCell ref="D17:F17"/>
    <mergeCell ref="D18:F18"/>
    <mergeCell ref="D19:F19"/>
    <mergeCell ref="D22:F22"/>
    <mergeCell ref="D23:F23"/>
    <mergeCell ref="B31:C31"/>
    <mergeCell ref="B32:C32"/>
    <mergeCell ref="B33:C33"/>
    <mergeCell ref="B38:G42"/>
    <mergeCell ref="B28:C28"/>
    <mergeCell ref="B30:C30"/>
    <mergeCell ref="B25:C25"/>
    <mergeCell ref="B35:C36"/>
    <mergeCell ref="D35:D36"/>
    <mergeCell ref="D28:F28"/>
    <mergeCell ref="D30:F30"/>
    <mergeCell ref="D31:F31"/>
    <mergeCell ref="D32:F32"/>
    <mergeCell ref="D33:F33"/>
    <mergeCell ref="B29:C29"/>
  </mergeCells>
  <pageMargins left="0.25" right="0.25"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DE4C34D9-E893-4CDB-A55A-D9856690557F}">
            <xm:f>Application!$F$11="Pre-Retrofit"</xm:f>
            <x14:dxf>
              <fill>
                <patternFill>
                  <bgColor theme="2"/>
                </patternFill>
              </fill>
            </x14:dxf>
          </x14:cfRule>
          <xm:sqref>D35:D36 B44:D44 F44</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9C664-E8F0-4FE6-8393-91616EE9FA2E}">
  <sheetPr codeName="Sheet11">
    <tabColor rgb="FFFF0000"/>
  </sheetPr>
  <dimension ref="A1:AX251"/>
  <sheetViews>
    <sheetView zoomScale="90" zoomScaleNormal="90" workbookViewId="0">
      <selection activeCell="D4" sqref="D4"/>
    </sheetView>
  </sheetViews>
  <sheetFormatPr defaultRowHeight="12.75" x14ac:dyDescent="0.2"/>
  <cols>
    <col min="1" max="1" width="26.28515625" bestFit="1" customWidth="1"/>
    <col min="2" max="2" width="14.28515625" bestFit="1" customWidth="1"/>
    <col min="3" max="3" width="2.85546875" customWidth="1"/>
    <col min="5" max="5" width="16.85546875" bestFit="1" customWidth="1"/>
    <col min="6" max="6" width="10.7109375" customWidth="1"/>
    <col min="7" max="7" width="64" customWidth="1"/>
    <col min="8" max="9" width="11" customWidth="1"/>
    <col min="10" max="10" width="23.42578125" bestFit="1" customWidth="1"/>
    <col min="11" max="11" width="69.28515625" customWidth="1"/>
    <col min="12" max="12" width="20.28515625" bestFit="1" customWidth="1"/>
    <col min="13" max="13" width="14.85546875" bestFit="1" customWidth="1"/>
    <col min="14" max="14" width="17.85546875" bestFit="1" customWidth="1"/>
    <col min="15" max="15" width="17.85546875" customWidth="1"/>
    <col min="16" max="16" width="12.7109375" customWidth="1"/>
    <col min="17" max="17" width="53.85546875" bestFit="1" customWidth="1"/>
    <col min="18" max="18" width="17" customWidth="1"/>
    <col min="19" max="19" width="44.5703125" bestFit="1" customWidth="1"/>
    <col min="20" max="20" width="19.85546875" customWidth="1"/>
    <col min="21" max="21" width="18.85546875" customWidth="1"/>
    <col min="22" max="22" width="2" customWidth="1"/>
    <col min="23" max="23" width="64.5703125" bestFit="1" customWidth="1"/>
    <col min="24" max="24" width="21.5703125" bestFit="1" customWidth="1"/>
    <col min="26" max="26" width="25.7109375" bestFit="1" customWidth="1"/>
    <col min="27" max="27" width="25.7109375" customWidth="1"/>
    <col min="28" max="28" width="9.7109375" bestFit="1" customWidth="1"/>
    <col min="29" max="29" width="7.7109375" bestFit="1" customWidth="1"/>
    <col min="30" max="30" width="46.28515625" bestFit="1" customWidth="1"/>
    <col min="31" max="31" width="15.42578125" bestFit="1" customWidth="1"/>
    <col min="32" max="32" width="15.140625" bestFit="1" customWidth="1"/>
    <col min="33" max="33" width="13.28515625" bestFit="1" customWidth="1"/>
    <col min="34" max="34" width="36.42578125" bestFit="1" customWidth="1"/>
    <col min="35" max="35" width="26.85546875" bestFit="1" customWidth="1"/>
    <col min="36" max="36" width="16.5703125" bestFit="1" customWidth="1"/>
    <col min="37" max="37" width="30.140625" bestFit="1" customWidth="1"/>
    <col min="38" max="38" width="16.85546875" bestFit="1" customWidth="1"/>
    <col min="40" max="40" width="48.140625" bestFit="1" customWidth="1"/>
    <col min="41" max="41" width="44.7109375" bestFit="1" customWidth="1"/>
    <col min="42" max="42" width="43" bestFit="1" customWidth="1"/>
    <col min="43" max="43" width="39.28515625" bestFit="1" customWidth="1"/>
    <col min="44" max="44" width="39.28515625" customWidth="1"/>
    <col min="45" max="45" width="38.85546875" bestFit="1" customWidth="1"/>
    <col min="46" max="46" width="19.85546875" bestFit="1" customWidth="1"/>
    <col min="47" max="47" width="22" bestFit="1" customWidth="1"/>
    <col min="48" max="48" width="15.5703125" bestFit="1" customWidth="1"/>
    <col min="49" max="49" width="51" bestFit="1" customWidth="1"/>
    <col min="50" max="50" width="26.7109375" bestFit="1" customWidth="1"/>
  </cols>
  <sheetData>
    <row r="1" spans="1:50" ht="13.5" thickBot="1" x14ac:dyDescent="0.25"/>
    <row r="2" spans="1:50" ht="40.5" customHeight="1" thickTop="1" thickBot="1" x14ac:dyDescent="0.3">
      <c r="A2" s="56" t="s">
        <v>177</v>
      </c>
      <c r="D2" s="312" t="s">
        <v>178</v>
      </c>
      <c r="E2" s="313"/>
      <c r="F2" s="313"/>
      <c r="G2" s="314"/>
      <c r="P2" s="57" t="s">
        <v>179</v>
      </c>
      <c r="W2" s="57" t="s">
        <v>180</v>
      </c>
    </row>
    <row r="3" spans="1:50" s="10" customFormat="1" ht="14.25" thickTop="1" thickBot="1" x14ac:dyDescent="0.25">
      <c r="A3" s="57" t="s">
        <v>181</v>
      </c>
      <c r="B3" s="77">
        <v>200000</v>
      </c>
      <c r="D3" s="10" t="s">
        <v>182</v>
      </c>
      <c r="E3" s="10" t="s">
        <v>183</v>
      </c>
      <c r="F3" t="s">
        <v>78</v>
      </c>
      <c r="G3" t="s">
        <v>184</v>
      </c>
      <c r="H3" t="s">
        <v>185</v>
      </c>
      <c r="I3" t="s">
        <v>186</v>
      </c>
      <c r="J3" t="s">
        <v>187</v>
      </c>
      <c r="K3" t="s">
        <v>188</v>
      </c>
      <c r="L3" t="s">
        <v>189</v>
      </c>
      <c r="M3" t="s">
        <v>190</v>
      </c>
      <c r="P3" s="10" t="s">
        <v>191</v>
      </c>
      <c r="Q3" s="10" t="s">
        <v>192</v>
      </c>
      <c r="R3" s="10" t="s">
        <v>193</v>
      </c>
      <c r="S3" s="10" t="s">
        <v>194</v>
      </c>
      <c r="T3" s="10" t="s">
        <v>188</v>
      </c>
      <c r="U3" s="10" t="s">
        <v>189</v>
      </c>
      <c r="W3" s="57" t="s">
        <v>195</v>
      </c>
      <c r="X3" t="s">
        <v>196</v>
      </c>
      <c r="Y3"/>
      <c r="Z3" s="58" t="s">
        <v>197</v>
      </c>
      <c r="AA3" s="58" t="s">
        <v>198</v>
      </c>
      <c r="AB3" s="58" t="s">
        <v>199</v>
      </c>
      <c r="AC3" s="58" t="s">
        <v>200</v>
      </c>
      <c r="AD3" s="58" t="s">
        <v>201</v>
      </c>
      <c r="AE3" s="58" t="s">
        <v>202</v>
      </c>
      <c r="AF3" s="58" t="s">
        <v>203</v>
      </c>
      <c r="AG3" s="58" t="s">
        <v>204</v>
      </c>
      <c r="AH3" s="58" t="s">
        <v>205</v>
      </c>
      <c r="AI3" s="58" t="s">
        <v>206</v>
      </c>
      <c r="AJ3" s="58" t="s">
        <v>207</v>
      </c>
      <c r="AK3" s="58" t="s">
        <v>208</v>
      </c>
      <c r="AL3" s="58" t="s">
        <v>209</v>
      </c>
      <c r="AM3"/>
      <c r="AN3" s="58" t="s">
        <v>210</v>
      </c>
      <c r="AO3" s="58" t="s">
        <v>211</v>
      </c>
      <c r="AP3" s="58" t="s">
        <v>212</v>
      </c>
      <c r="AQ3" s="58" t="s">
        <v>213</v>
      </c>
      <c r="AR3" s="58" t="s">
        <v>214</v>
      </c>
      <c r="AS3" s="58" t="s">
        <v>215</v>
      </c>
      <c r="AT3" s="58" t="s">
        <v>216</v>
      </c>
      <c r="AU3" s="58" t="s">
        <v>217</v>
      </c>
      <c r="AV3" s="58" t="s">
        <v>218</v>
      </c>
      <c r="AW3" s="58" t="s">
        <v>219</v>
      </c>
      <c r="AX3" s="58" t="s">
        <v>220</v>
      </c>
    </row>
    <row r="4" spans="1:50" ht="14.25" thickTop="1" thickBot="1" x14ac:dyDescent="0.25">
      <c r="A4" s="57" t="s">
        <v>221</v>
      </c>
      <c r="B4" s="77">
        <v>200000</v>
      </c>
      <c r="D4">
        <v>1</v>
      </c>
      <c r="E4" t="s">
        <v>222</v>
      </c>
      <c r="F4">
        <v>223730</v>
      </c>
      <c r="G4" t="s">
        <v>96</v>
      </c>
      <c r="H4" s="36">
        <v>80</v>
      </c>
      <c r="I4" s="36">
        <v>80</v>
      </c>
      <c r="J4" t="s">
        <v>223</v>
      </c>
      <c r="K4" t="e">
        <f>VLOOKUP(HVAC!$E$3,References!$K$102:$N$112,2,FALSE)</f>
        <v>#N/A</v>
      </c>
      <c r="L4" t="e">
        <f>VLOOKUP(HVAC!$E$3,References!$K$102:$N$112,4,FALSE)</f>
        <v>#N/A</v>
      </c>
      <c r="M4">
        <v>80</v>
      </c>
      <c r="P4">
        <v>991298</v>
      </c>
      <c r="Q4" t="s">
        <v>224</v>
      </c>
      <c r="R4" t="s">
        <v>117</v>
      </c>
      <c r="S4" t="str">
        <f>_xlfn.CONCAT($AQ$4,Table_WinFilm_Savings[[#This Row],[Cardinal Direction]])</f>
        <v>Window film, gas heat w/ACEast</v>
      </c>
      <c r="T4">
        <f>K40</f>
        <v>10.24</v>
      </c>
      <c r="U4">
        <f>L40</f>
        <v>1.0240000000000001E-2</v>
      </c>
      <c r="W4" t="s">
        <v>25</v>
      </c>
      <c r="X4" s="243">
        <f>0.12*1.25</f>
        <v>0.15</v>
      </c>
      <c r="Z4" t="s">
        <v>225</v>
      </c>
      <c r="AA4" t="s">
        <v>226</v>
      </c>
      <c r="AB4" t="s">
        <v>227</v>
      </c>
      <c r="AC4" t="s">
        <v>227</v>
      </c>
      <c r="AD4" t="s">
        <v>45</v>
      </c>
      <c r="AE4" t="s">
        <v>28</v>
      </c>
      <c r="AF4" t="s">
        <v>228</v>
      </c>
      <c r="AG4" t="s">
        <v>229</v>
      </c>
      <c r="AH4" t="s">
        <v>230</v>
      </c>
      <c r="AI4" t="s">
        <v>57</v>
      </c>
      <c r="AJ4" t="s">
        <v>59</v>
      </c>
      <c r="AK4" t="s">
        <v>62</v>
      </c>
      <c r="AL4" t="s">
        <v>231</v>
      </c>
      <c r="AN4" s="59" t="str">
        <f>Table_Prescript_Meas[[#This Row],[Measure Description]]</f>
        <v>High Eff. AC Unit</v>
      </c>
      <c r="AO4" s="59" t="s">
        <v>104</v>
      </c>
      <c r="AP4" s="59" t="s">
        <v>232</v>
      </c>
      <c r="AQ4" s="59" t="s">
        <v>116</v>
      </c>
      <c r="AR4" s="59" t="s">
        <v>122</v>
      </c>
      <c r="AS4" s="59" t="s">
        <v>128</v>
      </c>
      <c r="AT4" s="59" t="s">
        <v>117</v>
      </c>
      <c r="AU4" s="59" t="s">
        <v>123</v>
      </c>
      <c r="AV4" s="59" t="s">
        <v>145</v>
      </c>
      <c r="AW4" s="59" t="s">
        <v>233</v>
      </c>
      <c r="AX4" s="59" t="s">
        <v>144</v>
      </c>
    </row>
    <row r="5" spans="1:50" ht="14.25" thickTop="1" thickBot="1" x14ac:dyDescent="0.25">
      <c r="A5" s="57" t="s">
        <v>234</v>
      </c>
      <c r="B5" s="77">
        <v>5000</v>
      </c>
      <c r="D5">
        <v>2</v>
      </c>
      <c r="E5" t="s">
        <v>222</v>
      </c>
      <c r="F5">
        <v>223830</v>
      </c>
      <c r="G5" t="s">
        <v>97</v>
      </c>
      <c r="H5" s="36">
        <v>80</v>
      </c>
      <c r="I5" s="36">
        <v>80</v>
      </c>
      <c r="J5" t="s">
        <v>223</v>
      </c>
      <c r="K5" t="e">
        <f>VLOOKUP(HVAC!$E$3,References!$K$102:$N$112,2,FALSE)</f>
        <v>#N/A</v>
      </c>
      <c r="L5" t="e">
        <f>VLOOKUP(HVAC!$E$3,References!$K$102:$N$112,4,FALSE)</f>
        <v>#N/A</v>
      </c>
      <c r="M5">
        <v>80</v>
      </c>
      <c r="N5" s="5" t="e">
        <f>VLOOKUP(HVAC!$E$3,References!$K$102:$N$112,3,FALSE)</f>
        <v>#N/A</v>
      </c>
      <c r="P5">
        <v>991299</v>
      </c>
      <c r="Q5" t="s">
        <v>235</v>
      </c>
      <c r="R5" t="s">
        <v>119</v>
      </c>
      <c r="S5" t="str">
        <f>_xlfn.CONCAT($AQ$4,Table_WinFilm_Savings[[#This Row],[Cardinal Direction]])</f>
        <v>Window film, gas heat w/ACWest</v>
      </c>
      <c r="T5">
        <f t="shared" ref="T5:T12" si="0">K41</f>
        <v>12.32</v>
      </c>
      <c r="U5">
        <f t="shared" ref="U5:U12" si="1">L41</f>
        <v>1.2320000000000001E-2</v>
      </c>
      <c r="W5" t="s">
        <v>236</v>
      </c>
      <c r="X5" s="243">
        <f>0.12*1.25</f>
        <v>0.15</v>
      </c>
      <c r="Z5" t="s">
        <v>237</v>
      </c>
      <c r="AA5" t="s">
        <v>238</v>
      </c>
      <c r="AB5" t="s">
        <v>45</v>
      </c>
      <c r="AC5" t="s">
        <v>45</v>
      </c>
      <c r="AD5" t="s">
        <v>239</v>
      </c>
      <c r="AE5" t="s">
        <v>240</v>
      </c>
      <c r="AF5" t="s">
        <v>241</v>
      </c>
      <c r="AG5" t="s">
        <v>51</v>
      </c>
      <c r="AH5" t="s">
        <v>242</v>
      </c>
      <c r="AI5" t="s">
        <v>243</v>
      </c>
      <c r="AJ5" t="s">
        <v>244</v>
      </c>
      <c r="AK5" t="s">
        <v>245</v>
      </c>
      <c r="AL5" t="s">
        <v>246</v>
      </c>
      <c r="AN5" s="59" t="str">
        <f>Table_Prescript_Meas[[#This Row],[Measure Description]]</f>
        <v>High Eff. Heat Pump Unit</v>
      </c>
      <c r="AO5" s="59" t="s">
        <v>247</v>
      </c>
      <c r="AP5" s="59" t="s">
        <v>110</v>
      </c>
      <c r="AQ5" s="59" t="s">
        <v>120</v>
      </c>
      <c r="AR5" s="59" t="s">
        <v>124</v>
      </c>
      <c r="AS5" s="59" t="s">
        <v>127</v>
      </c>
      <c r="AT5" s="59" t="s">
        <v>118</v>
      </c>
      <c r="AU5" s="59" t="s">
        <v>118</v>
      </c>
      <c r="AV5" s="59" t="s">
        <v>142</v>
      </c>
      <c r="AW5" s="59" t="s">
        <v>248</v>
      </c>
      <c r="AX5" s="59" t="s">
        <v>249</v>
      </c>
    </row>
    <row r="6" spans="1:50" ht="14.25" thickTop="1" thickBot="1" x14ac:dyDescent="0.25">
      <c r="A6" s="57" t="s">
        <v>250</v>
      </c>
      <c r="B6" s="242" t="e">
        <f>INDEX(Table_Programs_Rates[Custom Incentive Rate], MATCH(Input_ProgramType, Table_Programs_Rates[List_Programs], 0))</f>
        <v>#N/A</v>
      </c>
      <c r="D6">
        <v>3</v>
      </c>
      <c r="E6" t="s">
        <v>222</v>
      </c>
      <c r="F6">
        <v>229230</v>
      </c>
      <c r="G6" t="s">
        <v>251</v>
      </c>
      <c r="H6" s="36">
        <v>35</v>
      </c>
      <c r="I6" s="36">
        <v>35</v>
      </c>
      <c r="J6" t="s">
        <v>223</v>
      </c>
      <c r="K6" s="224" t="e">
        <f>VLOOKUP(HVAC!$E$3,References!$K$127:$M$138,2,FALSE)*(12/11)</f>
        <v>#N/A</v>
      </c>
      <c r="L6" s="225" t="e">
        <f>VLOOKUP(HVAC!$E$3,References!$K$127:$M$138,3,FALSE)*(12/11)</f>
        <v>#N/A</v>
      </c>
      <c r="M6">
        <v>35</v>
      </c>
      <c r="P6">
        <v>991300</v>
      </c>
      <c r="Q6" t="s">
        <v>252</v>
      </c>
      <c r="R6" t="s">
        <v>118</v>
      </c>
      <c r="S6" t="str">
        <f>_xlfn.CONCAT($AQ$4,Table_WinFilm_Savings[[#This Row],[Cardinal Direction]])</f>
        <v>Window film, gas heat w/ACSouth</v>
      </c>
      <c r="T6">
        <f t="shared" si="0"/>
        <v>17.079999999999998</v>
      </c>
      <c r="U6">
        <f t="shared" si="1"/>
        <v>1.7079999999999998E-2</v>
      </c>
      <c r="Z6" t="s">
        <v>253</v>
      </c>
      <c r="AA6" t="s">
        <v>254</v>
      </c>
      <c r="AB6" t="s">
        <v>239</v>
      </c>
      <c r="AD6" t="s">
        <v>255</v>
      </c>
      <c r="AF6" t="s">
        <v>256</v>
      </c>
      <c r="AH6" t="s">
        <v>257</v>
      </c>
      <c r="AI6" t="s">
        <v>258</v>
      </c>
      <c r="AJ6" t="s">
        <v>259</v>
      </c>
      <c r="AK6" t="s">
        <v>157</v>
      </c>
      <c r="AL6" t="s">
        <v>260</v>
      </c>
      <c r="AN6" s="59" t="str">
        <f>Table_Prescript_Meas[[#This Row],[Measure Description]]</f>
        <v>High Eff. Packaged Terminal AC (PTAC) Unit</v>
      </c>
      <c r="AO6" s="59" t="s">
        <v>261</v>
      </c>
      <c r="AP6" s="59" t="s">
        <v>262</v>
      </c>
      <c r="AQ6" s="59" t="s">
        <v>121</v>
      </c>
      <c r="AR6" s="59"/>
      <c r="AS6" s="59" t="s">
        <v>263</v>
      </c>
      <c r="AT6" s="59" t="s">
        <v>119</v>
      </c>
      <c r="AU6" s="59" t="s">
        <v>119</v>
      </c>
      <c r="AV6" s="59" t="s">
        <v>264</v>
      </c>
      <c r="AW6" s="59" t="s">
        <v>265</v>
      </c>
      <c r="AX6" s="59" t="s">
        <v>147</v>
      </c>
    </row>
    <row r="7" spans="1:50" ht="14.25" thickTop="1" thickBot="1" x14ac:dyDescent="0.25">
      <c r="A7" s="57" t="s">
        <v>266</v>
      </c>
      <c r="B7" s="90">
        <v>1</v>
      </c>
      <c r="D7">
        <v>4</v>
      </c>
      <c r="E7" t="s">
        <v>222</v>
      </c>
      <c r="F7">
        <v>229330</v>
      </c>
      <c r="G7" t="s">
        <v>267</v>
      </c>
      <c r="H7" s="36">
        <v>35</v>
      </c>
      <c r="I7" s="36">
        <v>35</v>
      </c>
      <c r="J7" t="s">
        <v>223</v>
      </c>
      <c r="K7" s="224" t="e">
        <f>VLOOKUP(HVAC!$E$3,References!$K$140:$M$151,2,FALSE)*(12/11)</f>
        <v>#N/A</v>
      </c>
      <c r="L7" s="225" t="e">
        <f>VLOOKUP(HVAC!$E$3,References!$K$140:$M$151,3,FALSE)*(12/11)</f>
        <v>#N/A</v>
      </c>
      <c r="M7">
        <v>35</v>
      </c>
      <c r="P7">
        <v>991292</v>
      </c>
      <c r="Q7" t="s">
        <v>268</v>
      </c>
      <c r="R7" t="s">
        <v>117</v>
      </c>
      <c r="S7" t="str">
        <f>_xlfn.CONCAT($AQ$5,Table_WinFilm_Savings[[#This Row],[Cardinal Direction]])</f>
        <v>Window film, heat pump heating/coolingEast</v>
      </c>
      <c r="T7">
        <f t="shared" si="0"/>
        <v>3.08</v>
      </c>
      <c r="U7">
        <f t="shared" si="1"/>
        <v>3.0800000000000003E-3</v>
      </c>
      <c r="Z7" t="s">
        <v>269</v>
      </c>
      <c r="AA7" t="s">
        <v>269</v>
      </c>
      <c r="AD7" t="s">
        <v>270</v>
      </c>
      <c r="AF7" t="s">
        <v>271</v>
      </c>
      <c r="AH7" t="s">
        <v>55</v>
      </c>
      <c r="AI7" t="s">
        <v>272</v>
      </c>
      <c r="AJ7" t="s">
        <v>273</v>
      </c>
      <c r="AK7" t="s">
        <v>274</v>
      </c>
      <c r="AL7" t="s">
        <v>275</v>
      </c>
      <c r="AN7" s="59" t="str">
        <f>Table_Prescript_Meas[[#This Row],[Measure Description]]</f>
        <v>High Eff. Packaged Terminal HP (PTHP) Unit</v>
      </c>
      <c r="AO7" s="59" t="s">
        <v>276</v>
      </c>
      <c r="AP7" s="59" t="s">
        <v>109</v>
      </c>
      <c r="AR7" s="59"/>
      <c r="AS7" s="59" t="s">
        <v>277</v>
      </c>
      <c r="AU7" s="59" t="s">
        <v>117</v>
      </c>
      <c r="AW7" s="59" t="s">
        <v>278</v>
      </c>
    </row>
    <row r="8" spans="1:50" ht="14.25" thickTop="1" thickBot="1" x14ac:dyDescent="0.25">
      <c r="A8" s="57" t="s">
        <v>279</v>
      </c>
      <c r="B8" s="108" t="s">
        <v>280</v>
      </c>
      <c r="D8">
        <v>5</v>
      </c>
      <c r="E8" t="s">
        <v>222</v>
      </c>
      <c r="F8">
        <v>222130</v>
      </c>
      <c r="G8" t="s">
        <v>571</v>
      </c>
      <c r="H8" s="36">
        <v>45</v>
      </c>
      <c r="I8" s="36">
        <v>45</v>
      </c>
      <c r="J8" t="s">
        <v>281</v>
      </c>
      <c r="K8">
        <v>355</v>
      </c>
      <c r="L8">
        <v>0</v>
      </c>
      <c r="M8">
        <v>45</v>
      </c>
      <c r="P8">
        <v>991293</v>
      </c>
      <c r="Q8" t="s">
        <v>282</v>
      </c>
      <c r="R8" t="s">
        <v>119</v>
      </c>
      <c r="S8" t="str">
        <f>_xlfn.CONCAT($AQ$5,Table_WinFilm_Savings[[#This Row],[Cardinal Direction]])</f>
        <v>Window film, heat pump heating/coolingWest</v>
      </c>
      <c r="T8">
        <f t="shared" si="0"/>
        <v>6.13</v>
      </c>
      <c r="U8">
        <f t="shared" si="1"/>
        <v>6.13E-3</v>
      </c>
      <c r="Z8" t="s">
        <v>283</v>
      </c>
      <c r="AA8" t="s">
        <v>284</v>
      </c>
      <c r="AD8" t="s">
        <v>285</v>
      </c>
      <c r="AH8" t="s">
        <v>286</v>
      </c>
      <c r="AI8" t="s">
        <v>287</v>
      </c>
      <c r="AJ8" t="s">
        <v>288</v>
      </c>
      <c r="AL8" t="s">
        <v>289</v>
      </c>
      <c r="AN8" s="59" t="str">
        <f>Table_Prescript_Meas[[#This Row],[Measure Description]]</f>
        <v>Guestroom Energy Management Controls</v>
      </c>
      <c r="AO8" s="59" t="s">
        <v>290</v>
      </c>
      <c r="AP8" s="59" t="s">
        <v>291</v>
      </c>
      <c r="AR8" s="59"/>
      <c r="AS8" s="59"/>
      <c r="AW8" s="59" t="s">
        <v>143</v>
      </c>
    </row>
    <row r="9" spans="1:50" ht="14.25" thickTop="1" thickBot="1" x14ac:dyDescent="0.25">
      <c r="A9" s="57" t="s">
        <v>292</v>
      </c>
      <c r="B9" s="109"/>
      <c r="D9">
        <v>6</v>
      </c>
      <c r="E9" t="s">
        <v>222</v>
      </c>
      <c r="F9">
        <v>223630</v>
      </c>
      <c r="G9" t="s">
        <v>100</v>
      </c>
      <c r="H9" s="36">
        <v>150</v>
      </c>
      <c r="I9" s="36" t="s">
        <v>293</v>
      </c>
      <c r="J9" t="s">
        <v>281</v>
      </c>
      <c r="K9">
        <v>472.1</v>
      </c>
      <c r="L9">
        <v>0</v>
      </c>
      <c r="P9">
        <v>991294</v>
      </c>
      <c r="Q9" t="s">
        <v>294</v>
      </c>
      <c r="R9" t="s">
        <v>118</v>
      </c>
      <c r="S9" t="str">
        <f>_xlfn.CONCAT($AQ$5,Table_WinFilm_Savings[[#This Row],[Cardinal Direction]])</f>
        <v>Window film, heat pump heating/coolingSouth</v>
      </c>
      <c r="T9">
        <f t="shared" si="0"/>
        <v>1.68</v>
      </c>
      <c r="U9">
        <f t="shared" si="1"/>
        <v>1.6799999999999999E-3</v>
      </c>
      <c r="Z9" t="s">
        <v>295</v>
      </c>
      <c r="AA9" t="s">
        <v>296</v>
      </c>
      <c r="AD9" t="s">
        <v>297</v>
      </c>
      <c r="AH9" t="s">
        <v>298</v>
      </c>
      <c r="AI9" t="s">
        <v>299</v>
      </c>
      <c r="AJ9" t="s">
        <v>271</v>
      </c>
      <c r="AL9" t="s">
        <v>71</v>
      </c>
      <c r="AN9" s="59" t="str">
        <f>Table_Prescript_Meas[[#This Row],[Measure Description]]</f>
        <v>Smart Thermostats for Small Business</v>
      </c>
      <c r="AO9" s="59" t="s">
        <v>106</v>
      </c>
      <c r="AP9" s="59" t="s">
        <v>300</v>
      </c>
      <c r="AR9" s="59"/>
      <c r="AS9" s="59"/>
      <c r="AW9" s="59" t="s">
        <v>301</v>
      </c>
    </row>
    <row r="10" spans="1:50" ht="13.5" thickTop="1" x14ac:dyDescent="0.2">
      <c r="D10">
        <v>7</v>
      </c>
      <c r="E10" t="s">
        <v>222</v>
      </c>
      <c r="F10">
        <v>229430</v>
      </c>
      <c r="G10" t="s">
        <v>302</v>
      </c>
      <c r="H10" s="36">
        <v>0.7</v>
      </c>
      <c r="I10" s="36">
        <v>0.7</v>
      </c>
      <c r="J10" t="s">
        <v>303</v>
      </c>
      <c r="K10">
        <v>4.9000000000000004</v>
      </c>
      <c r="L10">
        <v>4.0000000000000001E-3</v>
      </c>
      <c r="M10">
        <v>0.7</v>
      </c>
      <c r="P10">
        <v>991295</v>
      </c>
      <c r="Q10" t="s">
        <v>304</v>
      </c>
      <c r="R10" t="s">
        <v>117</v>
      </c>
      <c r="S10" t="str">
        <f>_xlfn.CONCAT($AQ$6,Table_WinFilm_Savings[[#This Row],[Cardinal Direction]])</f>
        <v>Window film, electric resistance heat w/ACEast</v>
      </c>
      <c r="T10">
        <f t="shared" si="0"/>
        <v>5.04</v>
      </c>
      <c r="U10">
        <f t="shared" si="1"/>
        <v>5.0400000000000002E-3</v>
      </c>
      <c r="Z10" t="s">
        <v>271</v>
      </c>
      <c r="AD10" t="s">
        <v>305</v>
      </c>
      <c r="AH10" t="s">
        <v>306</v>
      </c>
      <c r="AI10" t="s">
        <v>307</v>
      </c>
      <c r="AJ10" t="s">
        <v>308</v>
      </c>
      <c r="AL10" t="s">
        <v>309</v>
      </c>
      <c r="AN10" s="59" t="str">
        <f>Table_Prescript_Meas[[#This Row],[Measure Description]]</f>
        <v>Commercial Duct Sealing</v>
      </c>
      <c r="AO10" s="59" t="s">
        <v>310</v>
      </c>
      <c r="AP10" s="59" t="s">
        <v>311</v>
      </c>
      <c r="AR10" s="59"/>
      <c r="AW10" s="59" t="s">
        <v>312</v>
      </c>
    </row>
    <row r="11" spans="1:50" x14ac:dyDescent="0.2">
      <c r="D11">
        <v>8</v>
      </c>
      <c r="E11" t="s">
        <v>222</v>
      </c>
      <c r="F11">
        <v>229530</v>
      </c>
      <c r="G11" t="s">
        <v>98</v>
      </c>
      <c r="H11" s="36">
        <v>50</v>
      </c>
      <c r="I11" s="36">
        <v>50</v>
      </c>
      <c r="J11" t="s">
        <v>223</v>
      </c>
      <c r="K11" s="224" t="e">
        <f>VLOOKUP(HVAC!$E$3,References!$K$154:$S$175,6,FALSE)</f>
        <v>#N/A</v>
      </c>
      <c r="L11" t="e">
        <f>VLOOKUP(HVAC!$E$3,References!$K$154:$S$175,9,FALSE)</f>
        <v>#N/A</v>
      </c>
      <c r="M11">
        <v>50</v>
      </c>
      <c r="P11">
        <v>991296</v>
      </c>
      <c r="Q11" t="s">
        <v>313</v>
      </c>
      <c r="R11" t="s">
        <v>119</v>
      </c>
      <c r="S11" t="str">
        <f>_xlfn.CONCAT($AQ$6,Table_WinFilm_Savings[[#This Row],[Cardinal Direction]])</f>
        <v>Window film, electric resistance heat w/ACWest</v>
      </c>
      <c r="T11">
        <f t="shared" si="0"/>
        <v>7.76</v>
      </c>
      <c r="U11">
        <f t="shared" si="1"/>
        <v>7.7599999999999995E-3</v>
      </c>
      <c r="AD11" t="s">
        <v>314</v>
      </c>
      <c r="AH11" t="s">
        <v>315</v>
      </c>
      <c r="AL11" t="s">
        <v>316</v>
      </c>
      <c r="AN11" s="59" t="str">
        <f>Table_Prescript_Meas[[#This Row],[Measure Description]]</f>
        <v>High Eff. Air-Cooled Chiller</v>
      </c>
      <c r="AO11" s="59" t="s">
        <v>317</v>
      </c>
      <c r="AR11" s="59"/>
      <c r="AW11" s="59" t="s">
        <v>318</v>
      </c>
    </row>
    <row r="12" spans="1:50" x14ac:dyDescent="0.2">
      <c r="D12">
        <v>9</v>
      </c>
      <c r="E12" t="s">
        <v>222</v>
      </c>
      <c r="F12">
        <v>229630</v>
      </c>
      <c r="G12" t="s">
        <v>319</v>
      </c>
      <c r="H12" s="36">
        <v>17</v>
      </c>
      <c r="I12" s="36">
        <v>17</v>
      </c>
      <c r="J12" t="s">
        <v>223</v>
      </c>
      <c r="K12" s="224" t="e">
        <f>VLOOKUP(HVAC!$E$3,References!$K$177:$Q$218,4,FALSE)</f>
        <v>#N/A</v>
      </c>
      <c r="L12" s="225" t="e">
        <f>VLOOKUP(HVAC!$E$3,References!$K$177:$Q$218,7,FALSE)</f>
        <v>#N/A</v>
      </c>
      <c r="M12">
        <v>17</v>
      </c>
      <c r="P12">
        <v>991297</v>
      </c>
      <c r="Q12" t="s">
        <v>320</v>
      </c>
      <c r="R12" t="s">
        <v>118</v>
      </c>
      <c r="S12" t="str">
        <f>_xlfn.CONCAT($AQ$6,Table_WinFilm_Savings[[#This Row],[Cardinal Direction]])</f>
        <v>Window film, electric resistance heat w/ACSouth</v>
      </c>
      <c r="T12">
        <f t="shared" si="0"/>
        <v>5.81</v>
      </c>
      <c r="U12">
        <f t="shared" si="1"/>
        <v>5.8099999999999992E-3</v>
      </c>
      <c r="AD12" t="s">
        <v>321</v>
      </c>
      <c r="AH12" t="s">
        <v>322</v>
      </c>
      <c r="AL12" t="s">
        <v>323</v>
      </c>
      <c r="AN12" s="59" t="str">
        <f>Table_Prescript_Meas[[#This Row],[Measure Description]]</f>
        <v>High Eff. Positive Displacement Water-Cooled Chiller</v>
      </c>
      <c r="AO12" s="59" t="s">
        <v>324</v>
      </c>
      <c r="AW12" s="59" t="s">
        <v>325</v>
      </c>
    </row>
    <row r="13" spans="1:50" ht="13.5" thickBot="1" x14ac:dyDescent="0.25">
      <c r="D13">
        <v>10</v>
      </c>
      <c r="E13" t="s">
        <v>222</v>
      </c>
      <c r="F13">
        <v>229730</v>
      </c>
      <c r="G13" t="s">
        <v>99</v>
      </c>
      <c r="H13" s="36">
        <v>30</v>
      </c>
      <c r="I13" s="36">
        <v>30</v>
      </c>
      <c r="J13" t="s">
        <v>223</v>
      </c>
      <c r="K13" s="224" t="e">
        <f>VLOOKUP(HVAC!$E$3,References!$K$220:$Q$251,4,FALSE)</f>
        <v>#N/A</v>
      </c>
      <c r="L13" s="225" t="e">
        <f>VLOOKUP(HVAC!$E$3,References!$K$220:$Q$251,7,FALSE)</f>
        <v>#N/A</v>
      </c>
      <c r="M13">
        <v>30</v>
      </c>
      <c r="AD13" t="s">
        <v>326</v>
      </c>
      <c r="AH13" t="s">
        <v>327</v>
      </c>
      <c r="AL13" t="s">
        <v>271</v>
      </c>
      <c r="AN13" s="59" t="str">
        <f>Table_Prescript_Meas[[#This Row],[Measure Description]]</f>
        <v>High Eff. Centrifugal Water-Cooled Chiller</v>
      </c>
      <c r="AO13" s="59" t="s">
        <v>105</v>
      </c>
      <c r="AW13" s="59" t="s">
        <v>328</v>
      </c>
    </row>
    <row r="14" spans="1:50" ht="27" thickTop="1" thickBot="1" x14ac:dyDescent="0.25">
      <c r="H14" s="36"/>
      <c r="I14" s="36"/>
      <c r="P14" s="57" t="s">
        <v>329</v>
      </c>
      <c r="AD14" t="s">
        <v>330</v>
      </c>
      <c r="AH14" t="s">
        <v>331</v>
      </c>
      <c r="AN14" s="59"/>
      <c r="AO14" s="59" t="s">
        <v>332</v>
      </c>
      <c r="AW14" s="59" t="s">
        <v>333</v>
      </c>
    </row>
    <row r="15" spans="1:50" ht="13.5" thickTop="1" x14ac:dyDescent="0.2">
      <c r="H15" s="36"/>
      <c r="I15" s="36"/>
      <c r="K15" s="224"/>
      <c r="L15" s="225"/>
      <c r="P15" s="10" t="s">
        <v>191</v>
      </c>
      <c r="Q15" s="10" t="s">
        <v>192</v>
      </c>
      <c r="R15" s="10" t="s">
        <v>193</v>
      </c>
      <c r="S15" s="10" t="s">
        <v>194</v>
      </c>
      <c r="T15" s="10" t="s">
        <v>188</v>
      </c>
      <c r="U15" s="10" t="s">
        <v>189</v>
      </c>
      <c r="AH15" t="s">
        <v>334</v>
      </c>
      <c r="AN15" s="59"/>
      <c r="AO15" s="59" t="s">
        <v>335</v>
      </c>
      <c r="AW15" s="59" t="s">
        <v>336</v>
      </c>
    </row>
    <row r="16" spans="1:50" x14ac:dyDescent="0.2">
      <c r="H16" s="36"/>
      <c r="I16" s="36"/>
      <c r="K16" s="224"/>
      <c r="P16">
        <v>991301</v>
      </c>
      <c r="Q16" t="s">
        <v>337</v>
      </c>
      <c r="R16" t="s">
        <v>123</v>
      </c>
      <c r="S16" t="str">
        <f>_xlfn.CONCAT($AR$4,Table_EffWindow_Savings[[#This Row],[Cardinal Direction]])</f>
        <v>Premium WindowsNorth</v>
      </c>
      <c r="T16" s="42">
        <v>3.4</v>
      </c>
      <c r="U16">
        <v>2.0000000000000001E-4</v>
      </c>
      <c r="AH16" t="s">
        <v>338</v>
      </c>
      <c r="AN16" s="59"/>
      <c r="AO16" s="59" t="s">
        <v>339</v>
      </c>
      <c r="AW16" s="59" t="s">
        <v>340</v>
      </c>
    </row>
    <row r="17" spans="4:49" x14ac:dyDescent="0.2">
      <c r="H17" s="36"/>
      <c r="I17" s="36"/>
      <c r="K17" s="224"/>
      <c r="L17" s="225"/>
      <c r="P17">
        <v>991302</v>
      </c>
      <c r="Q17" t="s">
        <v>341</v>
      </c>
      <c r="R17" t="s">
        <v>118</v>
      </c>
      <c r="S17" t="str">
        <f>_xlfn.CONCAT($AR$4,Table_EffWindow_Savings[[#This Row],[Cardinal Direction]])</f>
        <v>Premium WindowsSouth</v>
      </c>
      <c r="T17">
        <v>4.16</v>
      </c>
      <c r="U17">
        <v>4.0000000000000002E-4</v>
      </c>
      <c r="AH17" t="s">
        <v>342</v>
      </c>
      <c r="AN17" s="59"/>
      <c r="AO17" s="59" t="s">
        <v>103</v>
      </c>
      <c r="AW17" s="59" t="s">
        <v>343</v>
      </c>
    </row>
    <row r="18" spans="4:49" x14ac:dyDescent="0.2">
      <c r="D18">
        <v>11</v>
      </c>
      <c r="E18" t="s">
        <v>344</v>
      </c>
      <c r="F18">
        <v>422230</v>
      </c>
      <c r="G18" t="s">
        <v>104</v>
      </c>
      <c r="H18" s="36">
        <v>100</v>
      </c>
      <c r="I18" s="36">
        <v>100</v>
      </c>
      <c r="J18" t="s">
        <v>281</v>
      </c>
      <c r="K18">
        <v>804</v>
      </c>
      <c r="L18">
        <v>9.1999999999999998E-2</v>
      </c>
      <c r="M18">
        <v>100</v>
      </c>
      <c r="P18">
        <v>991303</v>
      </c>
      <c r="Q18" t="s">
        <v>345</v>
      </c>
      <c r="R18" t="s">
        <v>119</v>
      </c>
      <c r="S18" t="str">
        <f>_xlfn.CONCAT($AR$4,Table_EffWindow_Savings[[#This Row],[Cardinal Direction]])</f>
        <v>Premium WindowsWest</v>
      </c>
      <c r="T18">
        <v>4.67</v>
      </c>
      <c r="U18">
        <v>5.0000000000000001E-4</v>
      </c>
      <c r="AH18" t="s">
        <v>346</v>
      </c>
      <c r="AO18" s="59" t="s">
        <v>347</v>
      </c>
      <c r="AW18" s="59" t="s">
        <v>348</v>
      </c>
    </row>
    <row r="19" spans="4:49" x14ac:dyDescent="0.2">
      <c r="D19">
        <v>12</v>
      </c>
      <c r="E19" t="s">
        <v>344</v>
      </c>
      <c r="F19">
        <v>422315</v>
      </c>
      <c r="G19" t="s">
        <v>247</v>
      </c>
      <c r="H19" s="36">
        <v>65</v>
      </c>
      <c r="I19" s="36">
        <v>65</v>
      </c>
      <c r="J19" t="s">
        <v>349</v>
      </c>
      <c r="K19">
        <v>502.3</v>
      </c>
      <c r="L19">
        <v>5.7000000000000002E-2</v>
      </c>
      <c r="M19">
        <v>65</v>
      </c>
      <c r="P19">
        <v>991304</v>
      </c>
      <c r="Q19" t="s">
        <v>350</v>
      </c>
      <c r="R19" t="s">
        <v>117</v>
      </c>
      <c r="S19" t="str">
        <f>_xlfn.CONCAT($AR$4,Table_EffWindow_Savings[[#This Row],[Cardinal Direction]])</f>
        <v>Premium WindowsEast</v>
      </c>
      <c r="T19">
        <v>3.98</v>
      </c>
      <c r="U19">
        <v>2.9999999999999997E-4</v>
      </c>
      <c r="AH19" t="s">
        <v>351</v>
      </c>
      <c r="AW19" s="59" t="s">
        <v>352</v>
      </c>
    </row>
    <row r="20" spans="4:49" x14ac:dyDescent="0.2">
      <c r="D20">
        <v>13</v>
      </c>
      <c r="E20" t="s">
        <v>344</v>
      </c>
      <c r="F20">
        <v>422415</v>
      </c>
      <c r="G20" t="s">
        <v>261</v>
      </c>
      <c r="H20" s="36">
        <v>35</v>
      </c>
      <c r="I20" s="36">
        <v>35</v>
      </c>
      <c r="J20" t="s">
        <v>353</v>
      </c>
      <c r="K20">
        <v>633.79999999999995</v>
      </c>
      <c r="L20">
        <v>1.2999999999999999E-2</v>
      </c>
      <c r="M20">
        <v>35</v>
      </c>
      <c r="P20">
        <v>991305</v>
      </c>
      <c r="Q20" t="s">
        <v>354</v>
      </c>
      <c r="R20" t="s">
        <v>123</v>
      </c>
      <c r="S20" t="str">
        <f>_xlfn.CONCAT($AR$5,Table_EffWindow_Savings[[#This Row],[Cardinal Direction]])</f>
        <v>Efficient WindowsNorth</v>
      </c>
      <c r="T20">
        <v>3.11</v>
      </c>
      <c r="U20">
        <v>2.0000000000000001E-4</v>
      </c>
      <c r="AH20" t="s">
        <v>355</v>
      </c>
      <c r="AW20" s="59" t="s">
        <v>356</v>
      </c>
    </row>
    <row r="21" spans="4:49" x14ac:dyDescent="0.2">
      <c r="D21">
        <v>14</v>
      </c>
      <c r="E21" t="s">
        <v>344</v>
      </c>
      <c r="F21">
        <v>420125</v>
      </c>
      <c r="G21" t="s">
        <v>276</v>
      </c>
      <c r="H21" s="36">
        <v>20</v>
      </c>
      <c r="I21" s="36">
        <v>20</v>
      </c>
      <c r="J21" t="s">
        <v>357</v>
      </c>
      <c r="K21">
        <v>144.9</v>
      </c>
      <c r="L21">
        <v>0</v>
      </c>
      <c r="M21">
        <v>20</v>
      </c>
      <c r="P21">
        <v>991306</v>
      </c>
      <c r="Q21" t="s">
        <v>358</v>
      </c>
      <c r="R21" t="s">
        <v>118</v>
      </c>
      <c r="S21" t="str">
        <f>_xlfn.CONCAT($AR$5,Table_EffWindow_Savings[[#This Row],[Cardinal Direction]])</f>
        <v>Efficient WindowsSouth</v>
      </c>
      <c r="T21">
        <v>3.83</v>
      </c>
      <c r="U21">
        <v>4.0000000000000002E-4</v>
      </c>
      <c r="AH21" t="s">
        <v>359</v>
      </c>
      <c r="AW21" s="59" t="s">
        <v>360</v>
      </c>
    </row>
    <row r="22" spans="4:49" x14ac:dyDescent="0.2">
      <c r="D22">
        <v>15</v>
      </c>
      <c r="E22" t="s">
        <v>344</v>
      </c>
      <c r="F22">
        <v>420230</v>
      </c>
      <c r="G22" t="s">
        <v>290</v>
      </c>
      <c r="H22" s="36">
        <v>95</v>
      </c>
      <c r="I22" s="36">
        <v>95</v>
      </c>
      <c r="J22" t="s">
        <v>281</v>
      </c>
      <c r="K22">
        <v>780.5</v>
      </c>
      <c r="L22">
        <v>8.7999999999999995E-2</v>
      </c>
      <c r="M22">
        <v>95</v>
      </c>
      <c r="P22">
        <v>991307</v>
      </c>
      <c r="Q22" t="s">
        <v>361</v>
      </c>
      <c r="R22" t="s">
        <v>119</v>
      </c>
      <c r="S22" t="str">
        <f>_xlfn.CONCAT($AR$5,Table_EffWindow_Savings[[#This Row],[Cardinal Direction]])</f>
        <v>Efficient WindowsWest</v>
      </c>
      <c r="T22">
        <v>4.32</v>
      </c>
      <c r="U22">
        <v>5.0000000000000001E-4</v>
      </c>
      <c r="AH22" t="s">
        <v>362</v>
      </c>
      <c r="AW22" s="59" t="s">
        <v>363</v>
      </c>
    </row>
    <row r="23" spans="4:49" x14ac:dyDescent="0.2">
      <c r="D23">
        <v>16</v>
      </c>
      <c r="E23" t="s">
        <v>344</v>
      </c>
      <c r="F23">
        <v>420330</v>
      </c>
      <c r="G23" t="s">
        <v>106</v>
      </c>
      <c r="H23" s="36">
        <v>165</v>
      </c>
      <c r="I23" s="36">
        <v>165</v>
      </c>
      <c r="J23" t="s">
        <v>281</v>
      </c>
      <c r="K23" s="110">
        <v>2176.5</v>
      </c>
      <c r="L23">
        <v>0.25</v>
      </c>
      <c r="M23">
        <v>165</v>
      </c>
      <c r="P23">
        <v>991308</v>
      </c>
      <c r="Q23" t="s">
        <v>364</v>
      </c>
      <c r="R23" t="s">
        <v>117</v>
      </c>
      <c r="S23" t="str">
        <f>_xlfn.CONCAT($AR$5,Table_EffWindow_Savings[[#This Row],[Cardinal Direction]])</f>
        <v>Efficient WindowsEast</v>
      </c>
      <c r="T23">
        <v>4.32</v>
      </c>
      <c r="U23">
        <v>5.0000000000000001E-4</v>
      </c>
      <c r="AH23" t="s">
        <v>365</v>
      </c>
      <c r="AW23" s="59" t="s">
        <v>366</v>
      </c>
    </row>
    <row r="24" spans="4:49" x14ac:dyDescent="0.2">
      <c r="D24">
        <v>17</v>
      </c>
      <c r="E24" t="s">
        <v>344</v>
      </c>
      <c r="F24">
        <v>420425</v>
      </c>
      <c r="G24" t="s">
        <v>310</v>
      </c>
      <c r="H24" s="36">
        <v>4</v>
      </c>
      <c r="I24" s="36">
        <v>4</v>
      </c>
      <c r="J24" t="s">
        <v>367</v>
      </c>
      <c r="K24">
        <v>30</v>
      </c>
      <c r="L24">
        <v>3.0000000000000001E-3</v>
      </c>
      <c r="M24">
        <v>4</v>
      </c>
      <c r="AH24" t="s">
        <v>368</v>
      </c>
      <c r="AW24" s="59" t="s">
        <v>369</v>
      </c>
    </row>
    <row r="25" spans="4:49" x14ac:dyDescent="0.2">
      <c r="D25">
        <v>18</v>
      </c>
      <c r="E25" t="s">
        <v>344</v>
      </c>
      <c r="F25">
        <v>420525</v>
      </c>
      <c r="G25" t="s">
        <v>317</v>
      </c>
      <c r="H25" s="36">
        <v>8</v>
      </c>
      <c r="I25" s="36">
        <v>8</v>
      </c>
      <c r="J25" t="s">
        <v>367</v>
      </c>
      <c r="K25">
        <v>72</v>
      </c>
      <c r="L25">
        <v>8.0000000000000002E-3</v>
      </c>
      <c r="M25">
        <v>8</v>
      </c>
      <c r="AH25" t="s">
        <v>370</v>
      </c>
      <c r="AW25" s="59" t="s">
        <v>371</v>
      </c>
    </row>
    <row r="26" spans="4:49" x14ac:dyDescent="0.2">
      <c r="D26">
        <v>19</v>
      </c>
      <c r="E26" t="s">
        <v>344</v>
      </c>
      <c r="F26">
        <v>420625</v>
      </c>
      <c r="G26" t="s">
        <v>324</v>
      </c>
      <c r="H26" s="36">
        <v>8</v>
      </c>
      <c r="I26" s="36">
        <v>8</v>
      </c>
      <c r="J26" t="s">
        <v>367</v>
      </c>
      <c r="K26">
        <v>287</v>
      </c>
      <c r="L26">
        <v>3.3000000000000002E-2</v>
      </c>
      <c r="M26">
        <v>8</v>
      </c>
      <c r="AH26" t="s">
        <v>372</v>
      </c>
      <c r="AW26" s="59" t="s">
        <v>373</v>
      </c>
    </row>
    <row r="27" spans="4:49" x14ac:dyDescent="0.2">
      <c r="D27">
        <v>20</v>
      </c>
      <c r="E27" t="s">
        <v>344</v>
      </c>
      <c r="F27" s="158" t="s">
        <v>374</v>
      </c>
      <c r="G27" t="s">
        <v>105</v>
      </c>
      <c r="H27" s="36">
        <v>2</v>
      </c>
      <c r="I27" s="36">
        <v>2</v>
      </c>
      <c r="J27" t="s">
        <v>375</v>
      </c>
      <c r="K27">
        <v>15</v>
      </c>
      <c r="L27">
        <v>2E-3</v>
      </c>
      <c r="AH27" t="s">
        <v>376</v>
      </c>
      <c r="AW27" s="59" t="s">
        <v>377</v>
      </c>
    </row>
    <row r="28" spans="4:49" x14ac:dyDescent="0.2">
      <c r="D28">
        <v>21</v>
      </c>
      <c r="E28" t="s">
        <v>344</v>
      </c>
      <c r="F28" s="158" t="s">
        <v>378</v>
      </c>
      <c r="G28" t="s">
        <v>332</v>
      </c>
      <c r="H28" s="36">
        <v>14</v>
      </c>
      <c r="I28" s="36">
        <v>14</v>
      </c>
      <c r="J28" t="s">
        <v>375</v>
      </c>
      <c r="K28">
        <v>115</v>
      </c>
      <c r="L28">
        <v>1.2999999999999999E-2</v>
      </c>
      <c r="AH28" t="s">
        <v>379</v>
      </c>
      <c r="AW28" s="59" t="s">
        <v>380</v>
      </c>
    </row>
    <row r="29" spans="4:49" x14ac:dyDescent="0.2">
      <c r="D29">
        <v>22</v>
      </c>
      <c r="E29" t="s">
        <v>344</v>
      </c>
      <c r="F29" s="158" t="s">
        <v>381</v>
      </c>
      <c r="G29" t="s">
        <v>335</v>
      </c>
      <c r="H29" s="36">
        <v>113</v>
      </c>
      <c r="I29" s="36">
        <v>113</v>
      </c>
      <c r="J29" t="s">
        <v>382</v>
      </c>
      <c r="K29">
        <v>943</v>
      </c>
      <c r="L29">
        <v>0.13700000000000001</v>
      </c>
      <c r="AH29" t="s">
        <v>383</v>
      </c>
      <c r="AW29" s="59" t="s">
        <v>384</v>
      </c>
    </row>
    <row r="30" spans="4:49" x14ac:dyDescent="0.2">
      <c r="D30">
        <v>23</v>
      </c>
      <c r="E30" t="s">
        <v>344</v>
      </c>
      <c r="F30" s="158" t="s">
        <v>385</v>
      </c>
      <c r="G30" t="s">
        <v>339</v>
      </c>
      <c r="H30" s="36">
        <v>157</v>
      </c>
      <c r="I30" s="36">
        <v>157</v>
      </c>
      <c r="J30" t="s">
        <v>382</v>
      </c>
      <c r="K30">
        <v>2307</v>
      </c>
      <c r="L30">
        <v>0.309</v>
      </c>
      <c r="AH30" t="s">
        <v>386</v>
      </c>
      <c r="AW30" s="59" t="s">
        <v>146</v>
      </c>
    </row>
    <row r="31" spans="4:49" x14ac:dyDescent="0.2">
      <c r="D31">
        <v>24</v>
      </c>
      <c r="E31" t="s">
        <v>344</v>
      </c>
      <c r="F31">
        <v>124997</v>
      </c>
      <c r="G31" t="s">
        <v>103</v>
      </c>
      <c r="H31" s="36">
        <v>44</v>
      </c>
      <c r="I31" s="36">
        <v>44</v>
      </c>
      <c r="J31" t="s">
        <v>387</v>
      </c>
      <c r="K31">
        <v>217.2</v>
      </c>
      <c r="L31">
        <v>3.5000000000000003E-2</v>
      </c>
      <c r="M31">
        <v>30</v>
      </c>
      <c r="AH31" t="s">
        <v>388</v>
      </c>
      <c r="AW31" s="59" t="s">
        <v>389</v>
      </c>
    </row>
    <row r="32" spans="4:49" x14ac:dyDescent="0.2">
      <c r="D32">
        <v>25</v>
      </c>
      <c r="E32" t="s">
        <v>344</v>
      </c>
      <c r="F32">
        <v>125097</v>
      </c>
      <c r="G32" t="s">
        <v>347</v>
      </c>
      <c r="H32" s="36">
        <v>57</v>
      </c>
      <c r="I32" s="36">
        <v>57</v>
      </c>
      <c r="J32" t="s">
        <v>387</v>
      </c>
      <c r="K32">
        <v>310.60000000000002</v>
      </c>
      <c r="L32">
        <v>0.05</v>
      </c>
      <c r="M32">
        <v>40</v>
      </c>
      <c r="AH32" t="s">
        <v>390</v>
      </c>
      <c r="AW32" s="59" t="s">
        <v>391</v>
      </c>
    </row>
    <row r="33" spans="4:49" x14ac:dyDescent="0.2">
      <c r="D33">
        <v>26</v>
      </c>
      <c r="E33" t="s">
        <v>392</v>
      </c>
      <c r="F33">
        <v>322930</v>
      </c>
      <c r="G33" t="s">
        <v>232</v>
      </c>
      <c r="H33" s="36">
        <v>250</v>
      </c>
      <c r="I33" s="36">
        <v>250</v>
      </c>
      <c r="J33" t="s">
        <v>281</v>
      </c>
      <c r="K33">
        <v>2433.5</v>
      </c>
      <c r="L33">
        <v>0.46500000000000002</v>
      </c>
      <c r="M33">
        <v>250</v>
      </c>
      <c r="AH33" t="s">
        <v>393</v>
      </c>
      <c r="AW33" s="59" t="s">
        <v>394</v>
      </c>
    </row>
    <row r="34" spans="4:49" x14ac:dyDescent="0.2">
      <c r="D34">
        <v>27</v>
      </c>
      <c r="E34" t="s">
        <v>392</v>
      </c>
      <c r="F34">
        <v>323030</v>
      </c>
      <c r="G34" t="s">
        <v>110</v>
      </c>
      <c r="H34" s="36">
        <v>1865</v>
      </c>
      <c r="I34" s="36">
        <v>1865</v>
      </c>
      <c r="J34" t="s">
        <v>281</v>
      </c>
      <c r="K34">
        <v>43014.5</v>
      </c>
      <c r="L34">
        <v>8.25</v>
      </c>
      <c r="M34">
        <v>1865</v>
      </c>
      <c r="AH34" t="s">
        <v>395</v>
      </c>
      <c r="AW34" s="59" t="s">
        <v>396</v>
      </c>
    </row>
    <row r="35" spans="4:49" x14ac:dyDescent="0.2">
      <c r="D35">
        <v>28</v>
      </c>
      <c r="E35" t="s">
        <v>392</v>
      </c>
      <c r="F35">
        <v>323130</v>
      </c>
      <c r="G35" t="s">
        <v>262</v>
      </c>
      <c r="H35" s="36">
        <v>230</v>
      </c>
      <c r="I35" s="36">
        <v>230</v>
      </c>
      <c r="J35" t="s">
        <v>281</v>
      </c>
      <c r="K35">
        <v>1987.5</v>
      </c>
      <c r="L35">
        <v>0.38</v>
      </c>
      <c r="M35">
        <v>230</v>
      </c>
      <c r="AH35" t="s">
        <v>397</v>
      </c>
      <c r="AW35" s="59" t="s">
        <v>148</v>
      </c>
    </row>
    <row r="36" spans="4:49" x14ac:dyDescent="0.2">
      <c r="D36">
        <v>29</v>
      </c>
      <c r="E36" t="s">
        <v>392</v>
      </c>
      <c r="F36">
        <v>323230</v>
      </c>
      <c r="G36" t="s">
        <v>109</v>
      </c>
      <c r="H36" s="36">
        <v>45</v>
      </c>
      <c r="I36" s="36">
        <v>45</v>
      </c>
      <c r="J36" t="s">
        <v>398</v>
      </c>
      <c r="K36">
        <v>758</v>
      </c>
      <c r="L36">
        <v>0.15</v>
      </c>
      <c r="M36">
        <v>45</v>
      </c>
      <c r="AH36" t="s">
        <v>399</v>
      </c>
      <c r="AW36" s="59" t="s">
        <v>400</v>
      </c>
    </row>
    <row r="37" spans="4:49" x14ac:dyDescent="0.2">
      <c r="D37">
        <v>30</v>
      </c>
      <c r="E37" t="s">
        <v>392</v>
      </c>
      <c r="F37">
        <v>321115</v>
      </c>
      <c r="G37" t="s">
        <v>291</v>
      </c>
      <c r="H37" s="36">
        <v>600</v>
      </c>
      <c r="I37" s="36">
        <v>600</v>
      </c>
      <c r="J37" t="s">
        <v>401</v>
      </c>
      <c r="K37">
        <v>4845</v>
      </c>
      <c r="L37">
        <v>0.63400000000000001</v>
      </c>
      <c r="M37">
        <v>600</v>
      </c>
      <c r="AW37" s="59" t="s">
        <v>402</v>
      </c>
    </row>
    <row r="38" spans="4:49" x14ac:dyDescent="0.2">
      <c r="D38">
        <v>31</v>
      </c>
      <c r="E38" t="s">
        <v>392</v>
      </c>
      <c r="F38">
        <v>321030</v>
      </c>
      <c r="G38" t="s">
        <v>300</v>
      </c>
      <c r="H38" s="36">
        <v>600</v>
      </c>
      <c r="I38" s="36">
        <v>600</v>
      </c>
      <c r="J38" t="s">
        <v>281</v>
      </c>
      <c r="K38" s="110">
        <v>7622.3</v>
      </c>
      <c r="L38">
        <v>0.97199999999999998</v>
      </c>
      <c r="M38">
        <v>600</v>
      </c>
      <c r="AW38" s="59" t="s">
        <v>403</v>
      </c>
    </row>
    <row r="39" spans="4:49" x14ac:dyDescent="0.2">
      <c r="D39">
        <v>32</v>
      </c>
      <c r="E39" t="s">
        <v>392</v>
      </c>
      <c r="F39">
        <v>522730</v>
      </c>
      <c r="G39" t="s">
        <v>311</v>
      </c>
      <c r="H39" s="36">
        <v>35</v>
      </c>
      <c r="I39" s="36">
        <v>35</v>
      </c>
      <c r="J39" t="s">
        <v>281</v>
      </c>
      <c r="K39">
        <v>993</v>
      </c>
      <c r="L39">
        <v>0.125</v>
      </c>
      <c r="M39">
        <v>35</v>
      </c>
      <c r="AW39" s="59" t="s">
        <v>404</v>
      </c>
    </row>
    <row r="40" spans="4:49" x14ac:dyDescent="0.2">
      <c r="D40">
        <v>33</v>
      </c>
      <c r="E40" t="s">
        <v>405</v>
      </c>
      <c r="F40">
        <v>991298</v>
      </c>
      <c r="G40" t="s">
        <v>224</v>
      </c>
      <c r="H40" s="36">
        <v>1.5</v>
      </c>
      <c r="I40" s="36">
        <v>1.5</v>
      </c>
      <c r="J40" t="s">
        <v>406</v>
      </c>
      <c r="K40">
        <v>10.24</v>
      </c>
      <c r="L40">
        <f t="shared" ref="L40:L48" si="2">K40/1000</f>
        <v>1.0240000000000001E-2</v>
      </c>
      <c r="AW40" s="59" t="s">
        <v>407</v>
      </c>
    </row>
    <row r="41" spans="4:49" x14ac:dyDescent="0.2">
      <c r="D41">
        <v>34</v>
      </c>
      <c r="E41" t="s">
        <v>405</v>
      </c>
      <c r="F41">
        <v>991299</v>
      </c>
      <c r="G41" t="s">
        <v>235</v>
      </c>
      <c r="H41" s="36">
        <v>1.5</v>
      </c>
      <c r="I41" s="36">
        <v>1.5</v>
      </c>
      <c r="J41" t="s">
        <v>406</v>
      </c>
      <c r="K41">
        <v>12.32</v>
      </c>
      <c r="L41">
        <f t="shared" si="2"/>
        <v>1.2320000000000001E-2</v>
      </c>
      <c r="AW41" s="59" t="s">
        <v>408</v>
      </c>
    </row>
    <row r="42" spans="4:49" x14ac:dyDescent="0.2">
      <c r="D42">
        <v>35</v>
      </c>
      <c r="E42" t="s">
        <v>405</v>
      </c>
      <c r="F42">
        <v>991300</v>
      </c>
      <c r="G42" t="s">
        <v>252</v>
      </c>
      <c r="H42" s="36">
        <v>1.5</v>
      </c>
      <c r="I42" s="36">
        <v>1.5</v>
      </c>
      <c r="J42" t="s">
        <v>406</v>
      </c>
      <c r="K42">
        <v>17.079999999999998</v>
      </c>
      <c r="L42">
        <f t="shared" si="2"/>
        <v>1.7079999999999998E-2</v>
      </c>
    </row>
    <row r="43" spans="4:49" x14ac:dyDescent="0.2">
      <c r="D43">
        <v>36</v>
      </c>
      <c r="E43" t="s">
        <v>405</v>
      </c>
      <c r="F43">
        <v>991292</v>
      </c>
      <c r="G43" t="s">
        <v>268</v>
      </c>
      <c r="H43" s="36">
        <v>0.3</v>
      </c>
      <c r="I43" s="36">
        <v>0.3</v>
      </c>
      <c r="J43" t="s">
        <v>406</v>
      </c>
      <c r="K43">
        <v>3.08</v>
      </c>
      <c r="L43">
        <f t="shared" si="2"/>
        <v>3.0800000000000003E-3</v>
      </c>
    </row>
    <row r="44" spans="4:49" x14ac:dyDescent="0.2">
      <c r="D44">
        <v>37</v>
      </c>
      <c r="E44" t="s">
        <v>405</v>
      </c>
      <c r="F44">
        <v>991293</v>
      </c>
      <c r="G44" t="s">
        <v>282</v>
      </c>
      <c r="H44" s="36">
        <v>0.3</v>
      </c>
      <c r="I44" s="36">
        <v>0.3</v>
      </c>
      <c r="J44" t="s">
        <v>406</v>
      </c>
      <c r="K44">
        <v>6.13</v>
      </c>
      <c r="L44">
        <f t="shared" si="2"/>
        <v>6.13E-3</v>
      </c>
    </row>
    <row r="45" spans="4:49" x14ac:dyDescent="0.2">
      <c r="D45">
        <v>38</v>
      </c>
      <c r="E45" t="s">
        <v>405</v>
      </c>
      <c r="F45">
        <v>991294</v>
      </c>
      <c r="G45" t="s">
        <v>294</v>
      </c>
      <c r="H45" s="36">
        <v>0.3</v>
      </c>
      <c r="I45" s="36">
        <v>0.3</v>
      </c>
      <c r="J45" t="s">
        <v>406</v>
      </c>
      <c r="K45">
        <v>1.68</v>
      </c>
      <c r="L45">
        <f t="shared" si="2"/>
        <v>1.6799999999999999E-3</v>
      </c>
    </row>
    <row r="46" spans="4:49" x14ac:dyDescent="0.2">
      <c r="D46">
        <v>39</v>
      </c>
      <c r="E46" t="s">
        <v>405</v>
      </c>
      <c r="F46">
        <v>991295</v>
      </c>
      <c r="G46" t="s">
        <v>304</v>
      </c>
      <c r="H46" s="36">
        <v>0.5</v>
      </c>
      <c r="I46" s="36">
        <v>0.5</v>
      </c>
      <c r="J46" t="s">
        <v>406</v>
      </c>
      <c r="K46">
        <v>5.04</v>
      </c>
      <c r="L46">
        <f t="shared" si="2"/>
        <v>5.0400000000000002E-3</v>
      </c>
    </row>
    <row r="47" spans="4:49" x14ac:dyDescent="0.2">
      <c r="D47">
        <v>40</v>
      </c>
      <c r="E47" t="s">
        <v>405</v>
      </c>
      <c r="F47">
        <v>991296</v>
      </c>
      <c r="G47" t="s">
        <v>313</v>
      </c>
      <c r="H47" s="36">
        <v>0.5</v>
      </c>
      <c r="I47" s="36">
        <v>0.5</v>
      </c>
      <c r="J47" t="s">
        <v>406</v>
      </c>
      <c r="K47">
        <v>7.76</v>
      </c>
      <c r="L47">
        <f t="shared" si="2"/>
        <v>7.7599999999999995E-3</v>
      </c>
    </row>
    <row r="48" spans="4:49" x14ac:dyDescent="0.2">
      <c r="D48">
        <v>41</v>
      </c>
      <c r="E48" t="s">
        <v>405</v>
      </c>
      <c r="F48">
        <v>991297</v>
      </c>
      <c r="G48" t="s">
        <v>320</v>
      </c>
      <c r="H48" s="36">
        <v>0.5</v>
      </c>
      <c r="I48" s="36">
        <v>0.5</v>
      </c>
      <c r="J48" t="s">
        <v>406</v>
      </c>
      <c r="K48">
        <v>5.81</v>
      </c>
      <c r="L48">
        <f t="shared" si="2"/>
        <v>5.8099999999999992E-3</v>
      </c>
    </row>
    <row r="49" spans="4:13" x14ac:dyDescent="0.2">
      <c r="D49">
        <v>42</v>
      </c>
      <c r="E49" t="s">
        <v>124</v>
      </c>
      <c r="F49">
        <v>991301</v>
      </c>
      <c r="G49" t="s">
        <v>337</v>
      </c>
      <c r="H49" s="36">
        <v>0.5</v>
      </c>
      <c r="I49" s="36">
        <v>0.5</v>
      </c>
      <c r="J49" t="s">
        <v>406</v>
      </c>
      <c r="K49" s="42">
        <v>3.4</v>
      </c>
      <c r="L49">
        <v>2.0000000000000001E-4</v>
      </c>
    </row>
    <row r="50" spans="4:13" x14ac:dyDescent="0.2">
      <c r="D50">
        <v>43</v>
      </c>
      <c r="E50" t="s">
        <v>124</v>
      </c>
      <c r="F50">
        <v>991302</v>
      </c>
      <c r="G50" t="s">
        <v>341</v>
      </c>
      <c r="H50" s="36">
        <v>0.5</v>
      </c>
      <c r="I50" s="36">
        <v>0.5</v>
      </c>
      <c r="J50" t="s">
        <v>406</v>
      </c>
      <c r="K50">
        <v>4.16</v>
      </c>
      <c r="L50">
        <v>4.0000000000000002E-4</v>
      </c>
    </row>
    <row r="51" spans="4:13" x14ac:dyDescent="0.2">
      <c r="D51">
        <v>44</v>
      </c>
      <c r="E51" t="s">
        <v>124</v>
      </c>
      <c r="F51">
        <v>991303</v>
      </c>
      <c r="G51" t="s">
        <v>345</v>
      </c>
      <c r="H51" s="36">
        <v>0.5</v>
      </c>
      <c r="I51" s="36">
        <v>0.5</v>
      </c>
      <c r="J51" t="s">
        <v>406</v>
      </c>
      <c r="K51">
        <v>4.67</v>
      </c>
      <c r="L51">
        <v>5.0000000000000001E-4</v>
      </c>
    </row>
    <row r="52" spans="4:13" x14ac:dyDescent="0.2">
      <c r="D52">
        <v>45</v>
      </c>
      <c r="E52" t="s">
        <v>124</v>
      </c>
      <c r="F52">
        <v>991304</v>
      </c>
      <c r="G52" t="s">
        <v>350</v>
      </c>
      <c r="H52" s="36">
        <v>0.5</v>
      </c>
      <c r="I52" s="36">
        <v>0.5</v>
      </c>
      <c r="J52" t="s">
        <v>406</v>
      </c>
      <c r="K52">
        <v>3.98</v>
      </c>
      <c r="L52">
        <v>2.9999999999999997E-4</v>
      </c>
    </row>
    <row r="53" spans="4:13" x14ac:dyDescent="0.2">
      <c r="D53">
        <v>46</v>
      </c>
      <c r="E53" t="s">
        <v>124</v>
      </c>
      <c r="F53">
        <v>991305</v>
      </c>
      <c r="G53" t="s">
        <v>354</v>
      </c>
      <c r="H53" s="36">
        <v>0.5</v>
      </c>
      <c r="I53" s="36">
        <v>0.5</v>
      </c>
      <c r="J53" t="s">
        <v>406</v>
      </c>
      <c r="K53">
        <v>3.11</v>
      </c>
      <c r="L53">
        <v>2.0000000000000001E-4</v>
      </c>
    </row>
    <row r="54" spans="4:13" x14ac:dyDescent="0.2">
      <c r="D54">
        <v>47</v>
      </c>
      <c r="E54" t="s">
        <v>124</v>
      </c>
      <c r="F54">
        <v>991306</v>
      </c>
      <c r="G54" t="s">
        <v>358</v>
      </c>
      <c r="H54" s="36">
        <v>0.5</v>
      </c>
      <c r="I54" s="36">
        <v>0.5</v>
      </c>
      <c r="J54" t="s">
        <v>406</v>
      </c>
      <c r="K54">
        <v>3.83</v>
      </c>
      <c r="L54">
        <v>4.0000000000000002E-4</v>
      </c>
    </row>
    <row r="55" spans="4:13" x14ac:dyDescent="0.2">
      <c r="D55">
        <v>48</v>
      </c>
      <c r="E55" t="s">
        <v>124</v>
      </c>
      <c r="F55">
        <v>991307</v>
      </c>
      <c r="G55" t="s">
        <v>361</v>
      </c>
      <c r="H55" s="36">
        <v>0.5</v>
      </c>
      <c r="I55" s="36">
        <v>0.5</v>
      </c>
      <c r="J55" t="s">
        <v>406</v>
      </c>
      <c r="K55">
        <v>4.32</v>
      </c>
      <c r="L55">
        <v>5.0000000000000001E-4</v>
      </c>
    </row>
    <row r="56" spans="4:13" x14ac:dyDescent="0.2">
      <c r="D56">
        <v>49</v>
      </c>
      <c r="E56" t="s">
        <v>124</v>
      </c>
      <c r="F56">
        <v>991308</v>
      </c>
      <c r="G56" t="s">
        <v>364</v>
      </c>
      <c r="H56" s="36">
        <v>0.5</v>
      </c>
      <c r="I56" s="36">
        <v>0.5</v>
      </c>
      <c r="J56" t="s">
        <v>406</v>
      </c>
      <c r="K56">
        <v>4.32</v>
      </c>
      <c r="L56">
        <v>5.0000000000000001E-4</v>
      </c>
    </row>
    <row r="57" spans="4:13" x14ac:dyDescent="0.2">
      <c r="D57">
        <v>50</v>
      </c>
      <c r="E57" t="s">
        <v>409</v>
      </c>
      <c r="F57">
        <v>933415</v>
      </c>
      <c r="G57" t="s">
        <v>128</v>
      </c>
      <c r="H57" s="36">
        <v>22</v>
      </c>
      <c r="I57" s="36">
        <v>22</v>
      </c>
      <c r="J57" t="s">
        <v>281</v>
      </c>
      <c r="K57">
        <v>256</v>
      </c>
      <c r="L57">
        <v>1.2999999999999999E-2</v>
      </c>
      <c r="M57">
        <v>22</v>
      </c>
    </row>
    <row r="58" spans="4:13" x14ac:dyDescent="0.2">
      <c r="D58">
        <v>51</v>
      </c>
      <c r="E58" t="s">
        <v>409</v>
      </c>
      <c r="F58">
        <v>921530</v>
      </c>
      <c r="G58" t="s">
        <v>127</v>
      </c>
      <c r="H58" s="36">
        <v>8</v>
      </c>
      <c r="I58" s="36">
        <v>8</v>
      </c>
      <c r="J58" t="s">
        <v>281</v>
      </c>
      <c r="K58">
        <v>61.2</v>
      </c>
      <c r="L58">
        <v>0</v>
      </c>
      <c r="M58">
        <v>8</v>
      </c>
    </row>
    <row r="59" spans="4:13" x14ac:dyDescent="0.2">
      <c r="D59">
        <v>52</v>
      </c>
      <c r="E59" t="s">
        <v>409</v>
      </c>
      <c r="F59">
        <v>522630</v>
      </c>
      <c r="G59" t="s">
        <v>263</v>
      </c>
      <c r="H59" s="36">
        <v>6</v>
      </c>
      <c r="I59" s="36">
        <v>6</v>
      </c>
      <c r="J59" t="s">
        <v>281</v>
      </c>
      <c r="K59">
        <v>563.29999999999995</v>
      </c>
      <c r="L59">
        <v>0.12</v>
      </c>
      <c r="M59">
        <v>6</v>
      </c>
    </row>
    <row r="60" spans="4:13" x14ac:dyDescent="0.2">
      <c r="D60">
        <v>53</v>
      </c>
      <c r="E60" t="s">
        <v>409</v>
      </c>
      <c r="F60">
        <v>520830</v>
      </c>
      <c r="G60" t="s">
        <v>277</v>
      </c>
      <c r="H60" s="36">
        <v>7</v>
      </c>
      <c r="I60" s="36">
        <v>7</v>
      </c>
      <c r="J60" t="s">
        <v>281</v>
      </c>
      <c r="K60">
        <v>48.7</v>
      </c>
      <c r="L60">
        <v>2.16</v>
      </c>
      <c r="M60">
        <v>7</v>
      </c>
    </row>
    <row r="61" spans="4:13" x14ac:dyDescent="0.2">
      <c r="D61">
        <v>54</v>
      </c>
      <c r="E61" t="s">
        <v>410</v>
      </c>
      <c r="F61">
        <v>203930</v>
      </c>
      <c r="G61" t="s">
        <v>233</v>
      </c>
      <c r="H61" s="36"/>
      <c r="I61" s="36"/>
    </row>
    <row r="62" spans="4:13" x14ac:dyDescent="0.2">
      <c r="D62">
        <v>55</v>
      </c>
      <c r="E62" t="s">
        <v>410</v>
      </c>
      <c r="F62">
        <v>204030</v>
      </c>
      <c r="G62" t="s">
        <v>248</v>
      </c>
      <c r="H62" s="36"/>
      <c r="I62" s="36"/>
    </row>
    <row r="63" spans="4:13" x14ac:dyDescent="0.2">
      <c r="D63">
        <v>56</v>
      </c>
      <c r="E63" t="s">
        <v>410</v>
      </c>
      <c r="F63">
        <v>204130</v>
      </c>
      <c r="G63" t="s">
        <v>265</v>
      </c>
      <c r="H63" s="36"/>
      <c r="I63" s="36"/>
    </row>
    <row r="64" spans="4:13" x14ac:dyDescent="0.2">
      <c r="D64">
        <v>57</v>
      </c>
      <c r="E64" t="s">
        <v>410</v>
      </c>
      <c r="F64">
        <v>204230</v>
      </c>
      <c r="G64" t="s">
        <v>278</v>
      </c>
      <c r="H64" s="36"/>
      <c r="I64" s="36"/>
    </row>
    <row r="65" spans="4:9" x14ac:dyDescent="0.2">
      <c r="D65">
        <v>58</v>
      </c>
      <c r="E65" t="s">
        <v>410</v>
      </c>
      <c r="F65">
        <v>604330</v>
      </c>
      <c r="G65" t="s">
        <v>143</v>
      </c>
      <c r="H65" s="36"/>
      <c r="I65" s="36"/>
    </row>
    <row r="66" spans="4:9" x14ac:dyDescent="0.2">
      <c r="D66">
        <v>59</v>
      </c>
      <c r="E66" t="s">
        <v>410</v>
      </c>
      <c r="F66">
        <v>604430</v>
      </c>
      <c r="G66" t="s">
        <v>301</v>
      </c>
      <c r="H66" s="36"/>
      <c r="I66" s="36"/>
    </row>
    <row r="67" spans="4:9" x14ac:dyDescent="0.2">
      <c r="D67">
        <v>60</v>
      </c>
      <c r="E67" t="s">
        <v>410</v>
      </c>
      <c r="F67">
        <v>204530</v>
      </c>
      <c r="G67" t="s">
        <v>312</v>
      </c>
      <c r="H67" s="36"/>
      <c r="I67" s="36"/>
    </row>
    <row r="68" spans="4:9" x14ac:dyDescent="0.2">
      <c r="D68">
        <v>61</v>
      </c>
      <c r="E68" t="s">
        <v>410</v>
      </c>
      <c r="F68">
        <v>204630</v>
      </c>
      <c r="G68" t="s">
        <v>318</v>
      </c>
      <c r="H68" s="36"/>
      <c r="I68" s="36"/>
    </row>
    <row r="69" spans="4:9" x14ac:dyDescent="0.2">
      <c r="D69">
        <v>62</v>
      </c>
      <c r="E69" t="s">
        <v>410</v>
      </c>
      <c r="F69">
        <v>204730</v>
      </c>
      <c r="G69" t="s">
        <v>325</v>
      </c>
      <c r="H69" s="36"/>
      <c r="I69" s="36"/>
    </row>
    <row r="70" spans="4:9" x14ac:dyDescent="0.2">
      <c r="D70">
        <v>63</v>
      </c>
      <c r="E70" t="s">
        <v>410</v>
      </c>
      <c r="F70">
        <v>204830</v>
      </c>
      <c r="G70" t="s">
        <v>328</v>
      </c>
      <c r="H70" s="36"/>
      <c r="I70" s="36"/>
    </row>
    <row r="71" spans="4:9" x14ac:dyDescent="0.2">
      <c r="D71">
        <v>64</v>
      </c>
      <c r="E71" t="s">
        <v>410</v>
      </c>
      <c r="F71">
        <v>204930</v>
      </c>
      <c r="G71" t="s">
        <v>333</v>
      </c>
      <c r="H71" s="36"/>
      <c r="I71" s="36"/>
    </row>
    <row r="72" spans="4:9" x14ac:dyDescent="0.2">
      <c r="D72">
        <v>65</v>
      </c>
      <c r="E72" t="s">
        <v>410</v>
      </c>
      <c r="F72">
        <v>205030</v>
      </c>
      <c r="G72" t="s">
        <v>336</v>
      </c>
      <c r="H72" s="36"/>
      <c r="I72" s="36"/>
    </row>
    <row r="73" spans="4:9" x14ac:dyDescent="0.2">
      <c r="D73">
        <v>66</v>
      </c>
      <c r="E73" t="s">
        <v>410</v>
      </c>
      <c r="F73">
        <v>205130</v>
      </c>
      <c r="G73" t="s">
        <v>340</v>
      </c>
      <c r="H73" s="36"/>
      <c r="I73" s="36"/>
    </row>
    <row r="74" spans="4:9" x14ac:dyDescent="0.2">
      <c r="D74">
        <v>67</v>
      </c>
      <c r="E74" t="s">
        <v>410</v>
      </c>
      <c r="F74">
        <v>205230</v>
      </c>
      <c r="G74" t="s">
        <v>343</v>
      </c>
      <c r="H74" s="36"/>
      <c r="I74" s="36"/>
    </row>
    <row r="75" spans="4:9" x14ac:dyDescent="0.2">
      <c r="D75">
        <v>68</v>
      </c>
      <c r="E75" t="s">
        <v>410</v>
      </c>
      <c r="F75">
        <v>205330</v>
      </c>
      <c r="G75" t="s">
        <v>348</v>
      </c>
      <c r="H75" s="36"/>
      <c r="I75" s="36"/>
    </row>
    <row r="76" spans="4:9" x14ac:dyDescent="0.2">
      <c r="D76">
        <v>69</v>
      </c>
      <c r="E76" t="s">
        <v>410</v>
      </c>
      <c r="F76">
        <v>205430</v>
      </c>
      <c r="G76" t="s">
        <v>352</v>
      </c>
      <c r="H76" s="36"/>
      <c r="I76" s="36"/>
    </row>
    <row r="77" spans="4:9" x14ac:dyDescent="0.2">
      <c r="D77">
        <v>70</v>
      </c>
      <c r="E77" t="s">
        <v>410</v>
      </c>
      <c r="F77">
        <v>205530</v>
      </c>
      <c r="G77" t="s">
        <v>356</v>
      </c>
      <c r="H77" s="36"/>
      <c r="I77" s="36"/>
    </row>
    <row r="78" spans="4:9" x14ac:dyDescent="0.2">
      <c r="D78">
        <v>71</v>
      </c>
      <c r="E78" t="s">
        <v>410</v>
      </c>
      <c r="F78">
        <v>205630</v>
      </c>
      <c r="G78" t="s">
        <v>360</v>
      </c>
      <c r="H78" s="36"/>
      <c r="I78" s="36"/>
    </row>
    <row r="79" spans="4:9" x14ac:dyDescent="0.2">
      <c r="D79">
        <v>72</v>
      </c>
      <c r="E79" t="s">
        <v>410</v>
      </c>
      <c r="F79">
        <v>205730</v>
      </c>
      <c r="G79" t="s">
        <v>363</v>
      </c>
      <c r="H79" s="36"/>
      <c r="I79" s="36"/>
    </row>
    <row r="80" spans="4:9" x14ac:dyDescent="0.2">
      <c r="D80">
        <v>73</v>
      </c>
      <c r="E80" t="s">
        <v>410</v>
      </c>
      <c r="F80">
        <v>915830</v>
      </c>
      <c r="G80" t="s">
        <v>366</v>
      </c>
      <c r="H80" s="36"/>
      <c r="I80" s="36"/>
    </row>
    <row r="81" spans="4:9" x14ac:dyDescent="0.2">
      <c r="D81">
        <v>74</v>
      </c>
      <c r="E81" t="s">
        <v>410</v>
      </c>
      <c r="F81">
        <v>915930</v>
      </c>
      <c r="G81" t="s">
        <v>369</v>
      </c>
      <c r="H81" s="36"/>
      <c r="I81" s="36"/>
    </row>
    <row r="82" spans="4:9" x14ac:dyDescent="0.2">
      <c r="D82">
        <v>75</v>
      </c>
      <c r="E82" t="s">
        <v>410</v>
      </c>
      <c r="F82">
        <v>916030</v>
      </c>
      <c r="G82" t="s">
        <v>371</v>
      </c>
      <c r="H82" s="36"/>
      <c r="I82" s="36"/>
    </row>
    <row r="83" spans="4:9" x14ac:dyDescent="0.2">
      <c r="D83">
        <v>76</v>
      </c>
      <c r="E83" t="s">
        <v>410</v>
      </c>
      <c r="F83">
        <v>706130</v>
      </c>
      <c r="G83" t="s">
        <v>373</v>
      </c>
      <c r="H83" s="36"/>
      <c r="I83" s="36"/>
    </row>
    <row r="84" spans="4:9" x14ac:dyDescent="0.2">
      <c r="D84">
        <v>77</v>
      </c>
      <c r="E84" t="s">
        <v>410</v>
      </c>
      <c r="F84">
        <v>706230</v>
      </c>
      <c r="G84" t="s">
        <v>377</v>
      </c>
      <c r="H84" s="36"/>
      <c r="I84" s="36"/>
    </row>
    <row r="85" spans="4:9" x14ac:dyDescent="0.2">
      <c r="D85">
        <v>78</v>
      </c>
      <c r="E85" t="s">
        <v>410</v>
      </c>
      <c r="F85">
        <v>206330</v>
      </c>
      <c r="G85" t="s">
        <v>380</v>
      </c>
      <c r="H85" s="36"/>
      <c r="I85" s="36"/>
    </row>
    <row r="86" spans="4:9" x14ac:dyDescent="0.2">
      <c r="D86">
        <v>79</v>
      </c>
      <c r="E86" t="s">
        <v>410</v>
      </c>
      <c r="F86">
        <v>206425</v>
      </c>
      <c r="G86" t="s">
        <v>384</v>
      </c>
      <c r="H86" s="36"/>
      <c r="I86" s="36"/>
    </row>
    <row r="87" spans="4:9" x14ac:dyDescent="0.2">
      <c r="D87">
        <v>80</v>
      </c>
      <c r="E87" t="s">
        <v>410</v>
      </c>
      <c r="F87">
        <v>206530</v>
      </c>
      <c r="G87" t="s">
        <v>146</v>
      </c>
      <c r="H87" s="36"/>
      <c r="I87" s="36"/>
    </row>
    <row r="88" spans="4:9" x14ac:dyDescent="0.2">
      <c r="D88">
        <v>81</v>
      </c>
      <c r="E88" t="s">
        <v>410</v>
      </c>
      <c r="F88">
        <v>206630</v>
      </c>
      <c r="G88" t="s">
        <v>389</v>
      </c>
      <c r="H88" s="36"/>
      <c r="I88" s="36"/>
    </row>
    <row r="89" spans="4:9" x14ac:dyDescent="0.2">
      <c r="D89">
        <v>82</v>
      </c>
      <c r="E89" t="s">
        <v>410</v>
      </c>
      <c r="F89">
        <v>206730</v>
      </c>
      <c r="G89" t="s">
        <v>391</v>
      </c>
      <c r="H89" s="36"/>
      <c r="I89" s="36"/>
    </row>
    <row r="90" spans="4:9" x14ac:dyDescent="0.2">
      <c r="D90">
        <v>83</v>
      </c>
      <c r="E90" t="s">
        <v>410</v>
      </c>
      <c r="F90">
        <v>206830</v>
      </c>
      <c r="G90" t="s">
        <v>394</v>
      </c>
      <c r="H90" s="36"/>
      <c r="I90" s="36"/>
    </row>
    <row r="91" spans="4:9" x14ac:dyDescent="0.2">
      <c r="D91">
        <v>84</v>
      </c>
      <c r="E91" t="s">
        <v>410</v>
      </c>
      <c r="F91">
        <v>906930</v>
      </c>
      <c r="G91" t="s">
        <v>396</v>
      </c>
      <c r="H91" s="36"/>
      <c r="I91" s="36"/>
    </row>
    <row r="92" spans="4:9" x14ac:dyDescent="0.2">
      <c r="D92">
        <v>85</v>
      </c>
      <c r="E92" t="s">
        <v>410</v>
      </c>
      <c r="F92">
        <v>206930</v>
      </c>
      <c r="G92" t="s">
        <v>148</v>
      </c>
      <c r="H92" s="36"/>
      <c r="I92" s="36"/>
    </row>
    <row r="93" spans="4:9" x14ac:dyDescent="0.2">
      <c r="D93">
        <v>86</v>
      </c>
      <c r="E93" t="s">
        <v>410</v>
      </c>
      <c r="F93">
        <v>207030</v>
      </c>
      <c r="G93" t="s">
        <v>400</v>
      </c>
      <c r="H93" s="36"/>
      <c r="I93" s="36"/>
    </row>
    <row r="94" spans="4:9" x14ac:dyDescent="0.2">
      <c r="D94">
        <v>87</v>
      </c>
      <c r="E94" t="s">
        <v>410</v>
      </c>
      <c r="F94">
        <v>207130</v>
      </c>
      <c r="G94" t="s">
        <v>402</v>
      </c>
      <c r="H94" s="36"/>
      <c r="I94" s="36"/>
    </row>
    <row r="95" spans="4:9" x14ac:dyDescent="0.2">
      <c r="D95">
        <v>88</v>
      </c>
      <c r="E95" t="s">
        <v>410</v>
      </c>
      <c r="F95">
        <v>210130</v>
      </c>
      <c r="G95" t="s">
        <v>403</v>
      </c>
      <c r="H95" s="36"/>
      <c r="I95" s="36"/>
    </row>
    <row r="96" spans="4:9" x14ac:dyDescent="0.2">
      <c r="D96">
        <v>89</v>
      </c>
      <c r="E96" t="s">
        <v>410</v>
      </c>
      <c r="F96">
        <v>210230</v>
      </c>
      <c r="G96" t="s">
        <v>404</v>
      </c>
      <c r="H96" s="36"/>
      <c r="I96" s="36"/>
    </row>
    <row r="97" spans="4:21" x14ac:dyDescent="0.2">
      <c r="D97">
        <v>90</v>
      </c>
      <c r="E97" t="s">
        <v>410</v>
      </c>
      <c r="F97">
        <v>210330</v>
      </c>
      <c r="G97" t="s">
        <v>407</v>
      </c>
      <c r="H97" s="36"/>
      <c r="I97" s="36"/>
    </row>
    <row r="98" spans="4:21" x14ac:dyDescent="0.2">
      <c r="D98">
        <v>91</v>
      </c>
      <c r="E98" t="s">
        <v>410</v>
      </c>
      <c r="F98">
        <v>907330</v>
      </c>
      <c r="G98" t="s">
        <v>408</v>
      </c>
      <c r="H98" s="36"/>
      <c r="I98" s="36"/>
    </row>
    <row r="99" spans="4:21" x14ac:dyDescent="0.2">
      <c r="H99" s="36"/>
      <c r="I99" s="36"/>
    </row>
    <row r="101" spans="4:21" ht="15.75" thickBot="1" x14ac:dyDescent="0.3">
      <c r="K101" s="159" t="s">
        <v>411</v>
      </c>
      <c r="P101" s="160"/>
      <c r="Q101" s="160"/>
      <c r="R101" s="160"/>
      <c r="S101" s="160"/>
      <c r="T101" s="160"/>
      <c r="U101" s="160"/>
    </row>
    <row r="102" spans="4:21" ht="30.75" thickBot="1" x14ac:dyDescent="0.3">
      <c r="K102" s="161" t="s">
        <v>54</v>
      </c>
      <c r="L102" s="162" t="s">
        <v>412</v>
      </c>
      <c r="M102" s="162" t="s">
        <v>413</v>
      </c>
      <c r="N102" s="162" t="s">
        <v>414</v>
      </c>
      <c r="O102" s="226"/>
      <c r="P102" s="160"/>
      <c r="Q102" s="160"/>
      <c r="R102" s="160"/>
      <c r="S102" s="160"/>
      <c r="T102" s="160"/>
      <c r="U102" s="160"/>
    </row>
    <row r="103" spans="4:21" ht="15.75" thickBot="1" x14ac:dyDescent="0.3">
      <c r="K103" s="163" t="s">
        <v>415</v>
      </c>
      <c r="L103" s="164">
        <v>2375</v>
      </c>
      <c r="M103" s="165">
        <v>272</v>
      </c>
      <c r="N103" s="165">
        <v>0.78</v>
      </c>
      <c r="O103" s="16"/>
      <c r="P103" s="160"/>
      <c r="Q103" s="160"/>
      <c r="R103" s="160"/>
      <c r="S103" s="160"/>
      <c r="T103" s="160"/>
      <c r="U103" s="160"/>
    </row>
    <row r="104" spans="4:21" ht="15.75" thickBot="1" x14ac:dyDescent="0.3">
      <c r="K104" s="163" t="s">
        <v>416</v>
      </c>
      <c r="L104" s="164">
        <v>1526</v>
      </c>
      <c r="M104" s="165">
        <v>153</v>
      </c>
      <c r="N104" s="166">
        <v>0.9</v>
      </c>
      <c r="O104" s="227"/>
      <c r="P104" s="160"/>
      <c r="Q104" s="160"/>
      <c r="R104" s="160"/>
      <c r="S104" s="160"/>
      <c r="T104" s="160"/>
      <c r="U104" s="160"/>
    </row>
    <row r="105" spans="4:21" ht="15.75" thickBot="1" x14ac:dyDescent="0.3">
      <c r="K105" s="163" t="s">
        <v>74</v>
      </c>
      <c r="L105" s="164">
        <v>1989</v>
      </c>
      <c r="M105" s="165">
        <v>115</v>
      </c>
      <c r="N105" s="165">
        <v>0.85</v>
      </c>
      <c r="O105" s="16"/>
      <c r="P105" s="160"/>
      <c r="Q105" s="160"/>
      <c r="R105" s="160"/>
      <c r="S105" s="160"/>
      <c r="T105" s="160"/>
      <c r="U105" s="160"/>
    </row>
    <row r="106" spans="4:21" ht="15.75" thickBot="1" x14ac:dyDescent="0.3">
      <c r="K106" s="163" t="s">
        <v>417</v>
      </c>
      <c r="L106" s="164">
        <v>1483</v>
      </c>
      <c r="M106" s="165">
        <v>392</v>
      </c>
      <c r="N106" s="165">
        <v>0.84</v>
      </c>
      <c r="O106" s="16"/>
      <c r="P106" s="160"/>
      <c r="Q106" s="160"/>
      <c r="R106" s="160"/>
      <c r="S106" s="160"/>
      <c r="T106" s="160"/>
      <c r="U106" s="160"/>
    </row>
    <row r="107" spans="4:21" ht="15.75" thickBot="1" x14ac:dyDescent="0.3">
      <c r="K107" s="163" t="s">
        <v>418</v>
      </c>
      <c r="L107" s="164">
        <v>2095</v>
      </c>
      <c r="M107" s="165">
        <v>409</v>
      </c>
      <c r="N107" s="165">
        <v>0.77</v>
      </c>
      <c r="O107" s="16"/>
      <c r="P107" s="160"/>
      <c r="Q107" s="160"/>
      <c r="R107" s="160"/>
      <c r="S107" s="160"/>
      <c r="T107" s="160"/>
      <c r="U107" s="160"/>
    </row>
    <row r="108" spans="4:21" ht="15.75" thickBot="1" x14ac:dyDescent="0.3">
      <c r="K108" s="163" t="s">
        <v>419</v>
      </c>
      <c r="L108" s="164">
        <v>1997</v>
      </c>
      <c r="M108" s="165">
        <v>166</v>
      </c>
      <c r="N108" s="165">
        <v>0.85</v>
      </c>
      <c r="O108" s="16"/>
      <c r="P108" s="160"/>
      <c r="Q108" s="160"/>
      <c r="R108" s="160"/>
      <c r="S108" s="160"/>
      <c r="T108" s="160"/>
      <c r="U108" s="160"/>
    </row>
    <row r="109" spans="4:21" ht="15.75" thickBot="1" x14ac:dyDescent="0.3">
      <c r="K109" s="163" t="s">
        <v>420</v>
      </c>
      <c r="L109" s="164">
        <v>3191</v>
      </c>
      <c r="M109" s="165">
        <v>513</v>
      </c>
      <c r="N109" s="165">
        <v>0.88</v>
      </c>
      <c r="O109" s="16"/>
      <c r="P109" s="160"/>
      <c r="Q109" s="160"/>
      <c r="R109" s="160"/>
      <c r="S109" s="160"/>
      <c r="T109" s="160"/>
      <c r="U109" s="160"/>
    </row>
    <row r="110" spans="4:21" ht="15.75" thickBot="1" x14ac:dyDescent="0.3">
      <c r="K110" s="163" t="s">
        <v>421</v>
      </c>
      <c r="L110" s="164">
        <v>2329</v>
      </c>
      <c r="M110" s="165">
        <v>140</v>
      </c>
      <c r="N110" s="165">
        <v>0.71</v>
      </c>
      <c r="O110" s="16"/>
      <c r="P110" s="160"/>
      <c r="Q110" s="160"/>
      <c r="R110" s="160"/>
      <c r="S110" s="160"/>
      <c r="T110" s="160"/>
      <c r="U110" s="160"/>
    </row>
    <row r="111" spans="4:21" ht="15.75" thickBot="1" x14ac:dyDescent="0.3">
      <c r="K111" s="163" t="s">
        <v>422</v>
      </c>
      <c r="L111" s="164">
        <v>2060</v>
      </c>
      <c r="M111" s="165">
        <v>255</v>
      </c>
      <c r="N111" s="165">
        <v>0.84</v>
      </c>
      <c r="O111" s="16"/>
      <c r="P111" s="160"/>
      <c r="Q111" s="160"/>
      <c r="R111" s="160"/>
      <c r="S111" s="160"/>
      <c r="T111" s="160"/>
      <c r="U111" s="160"/>
    </row>
    <row r="112" spans="4:21" ht="15.75" thickBot="1" x14ac:dyDescent="0.3">
      <c r="K112" s="163" t="s">
        <v>423</v>
      </c>
      <c r="L112" s="164">
        <v>1510</v>
      </c>
      <c r="M112" s="165">
        <v>604</v>
      </c>
      <c r="N112" s="165">
        <v>0.84</v>
      </c>
      <c r="O112" s="16"/>
      <c r="P112" s="160"/>
      <c r="Q112" s="160"/>
      <c r="R112" s="160"/>
      <c r="S112" s="160"/>
      <c r="T112" s="160"/>
      <c r="U112" s="160"/>
    </row>
    <row r="113" spans="11:21" ht="15" x14ac:dyDescent="0.25">
      <c r="K113" s="160"/>
      <c r="L113" s="160"/>
      <c r="M113" s="160"/>
      <c r="N113" s="160"/>
      <c r="O113" s="160"/>
      <c r="P113" s="160"/>
      <c r="Q113" s="160"/>
      <c r="R113" s="160"/>
      <c r="S113" s="160"/>
      <c r="T113" s="160"/>
      <c r="U113" s="160"/>
    </row>
    <row r="114" spans="11:21" ht="15" x14ac:dyDescent="0.25">
      <c r="L114" s="167" t="s">
        <v>424</v>
      </c>
      <c r="M114" s="167"/>
      <c r="N114" s="167"/>
      <c r="O114" s="167"/>
      <c r="P114" s="167" t="s">
        <v>425</v>
      </c>
      <c r="Q114" s="167"/>
      <c r="R114" s="167"/>
      <c r="S114" s="168" t="s">
        <v>426</v>
      </c>
      <c r="T114" s="169"/>
      <c r="U114" s="160"/>
    </row>
    <row r="115" spans="11:21" ht="15" x14ac:dyDescent="0.25">
      <c r="K115" s="170" t="s">
        <v>427</v>
      </c>
      <c r="L115" s="170" t="s">
        <v>428</v>
      </c>
      <c r="M115" s="170" t="s">
        <v>429</v>
      </c>
      <c r="N115" s="170" t="s">
        <v>430</v>
      </c>
      <c r="O115" s="170"/>
      <c r="P115" s="170" t="s">
        <v>428</v>
      </c>
      <c r="Q115" s="170" t="s">
        <v>429</v>
      </c>
      <c r="R115" s="170" t="s">
        <v>430</v>
      </c>
      <c r="S115" s="171" t="s">
        <v>431</v>
      </c>
      <c r="T115" s="171" t="s">
        <v>432</v>
      </c>
      <c r="U115" s="160"/>
    </row>
    <row r="116" spans="11:21" ht="15" x14ac:dyDescent="0.25">
      <c r="K116" s="174" t="s">
        <v>433</v>
      </c>
      <c r="L116" s="172">
        <v>11.8</v>
      </c>
      <c r="M116" s="172">
        <v>13.4</v>
      </c>
      <c r="N116" s="5"/>
      <c r="O116" s="5"/>
      <c r="P116" s="172">
        <v>12.3</v>
      </c>
      <c r="Q116" s="173">
        <v>14.5</v>
      </c>
      <c r="R116" s="5"/>
      <c r="S116" s="172">
        <v>0</v>
      </c>
      <c r="T116" s="172">
        <v>5.4199900000000003</v>
      </c>
      <c r="U116" s="160"/>
    </row>
    <row r="117" spans="11:21" ht="15" x14ac:dyDescent="0.25">
      <c r="K117" s="172" t="s">
        <v>434</v>
      </c>
      <c r="L117" s="172">
        <v>11.1</v>
      </c>
      <c r="M117" s="172">
        <v>14.7</v>
      </c>
      <c r="N117" s="5"/>
      <c r="O117" s="5"/>
      <c r="P117" s="172">
        <v>12.2</v>
      </c>
      <c r="Q117" s="172">
        <v>14.8</v>
      </c>
      <c r="R117" s="5"/>
      <c r="S117" s="172">
        <v>5.42</v>
      </c>
      <c r="T117" s="172">
        <v>11.24</v>
      </c>
      <c r="U117" s="160"/>
    </row>
    <row r="118" spans="11:21" ht="15" x14ac:dyDescent="0.25">
      <c r="K118" s="172" t="s">
        <v>435</v>
      </c>
      <c r="L118" s="172">
        <v>10.9</v>
      </c>
      <c r="M118" s="172">
        <v>14.1</v>
      </c>
      <c r="N118" s="5"/>
      <c r="O118" s="5"/>
      <c r="P118" s="172">
        <v>12.2</v>
      </c>
      <c r="Q118" s="172">
        <v>14.8</v>
      </c>
      <c r="R118" s="5"/>
      <c r="S118" s="172">
        <v>11.25</v>
      </c>
      <c r="T118" s="172">
        <v>19.998999999999999</v>
      </c>
      <c r="U118" s="160"/>
    </row>
    <row r="119" spans="11:21" ht="15" x14ac:dyDescent="0.25">
      <c r="K119" s="174" t="s">
        <v>436</v>
      </c>
      <c r="L119" s="172">
        <v>9.9</v>
      </c>
      <c r="M119" s="172">
        <v>13.1</v>
      </c>
      <c r="N119" s="5"/>
      <c r="O119" s="5"/>
      <c r="P119" s="172">
        <v>10.8</v>
      </c>
      <c r="Q119" s="174">
        <v>13.5</v>
      </c>
      <c r="R119" s="5"/>
      <c r="S119" s="172">
        <v>20</v>
      </c>
      <c r="T119" s="175">
        <v>63.3</v>
      </c>
      <c r="U119" s="160"/>
    </row>
    <row r="120" spans="11:21" ht="15" x14ac:dyDescent="0.25">
      <c r="K120" s="176" t="s">
        <v>437</v>
      </c>
      <c r="L120" s="175">
        <v>9.6</v>
      </c>
      <c r="M120" s="175">
        <v>12.4</v>
      </c>
      <c r="N120" s="175"/>
      <c r="O120" s="175"/>
      <c r="P120" s="175">
        <v>10.4</v>
      </c>
      <c r="Q120" s="177">
        <v>13</v>
      </c>
      <c r="R120" s="175"/>
      <c r="S120" s="175">
        <v>63.4</v>
      </c>
      <c r="T120" s="172">
        <v>999999</v>
      </c>
      <c r="U120" s="160"/>
    </row>
    <row r="121" spans="11:21" ht="15" x14ac:dyDescent="0.25">
      <c r="K121" s="174" t="s">
        <v>438</v>
      </c>
      <c r="L121" s="178">
        <v>11.8</v>
      </c>
      <c r="M121" s="178">
        <v>13.4</v>
      </c>
      <c r="N121" s="178">
        <v>7.1</v>
      </c>
      <c r="O121" s="178"/>
      <c r="P121" s="178">
        <v>12.3</v>
      </c>
      <c r="Q121" s="179">
        <v>14.5</v>
      </c>
      <c r="R121" s="179">
        <v>8</v>
      </c>
      <c r="S121" s="172">
        <v>0</v>
      </c>
      <c r="T121" s="172">
        <v>5.4199900000000003</v>
      </c>
      <c r="U121" s="160"/>
    </row>
    <row r="122" spans="11:21" ht="15" x14ac:dyDescent="0.25">
      <c r="K122" s="174" t="s">
        <v>439</v>
      </c>
      <c r="L122" s="178">
        <f>AVERAGE(11,10.8)</f>
        <v>10.9</v>
      </c>
      <c r="M122" s="178">
        <v>14</v>
      </c>
      <c r="N122" s="178">
        <f>3.4*3.412</f>
        <v>11.6008</v>
      </c>
      <c r="O122" s="178"/>
      <c r="P122" s="178">
        <v>11.3</v>
      </c>
      <c r="Q122" s="179">
        <v>14.5</v>
      </c>
      <c r="R122" s="178">
        <v>12</v>
      </c>
      <c r="S122" s="172">
        <v>5.42</v>
      </c>
      <c r="T122" s="172">
        <v>11.24</v>
      </c>
      <c r="U122" s="160"/>
    </row>
    <row r="123" spans="11:21" ht="15" x14ac:dyDescent="0.25">
      <c r="K123" s="174" t="s">
        <v>440</v>
      </c>
      <c r="L123" s="178">
        <f>AVERAGE(10.6,10.4)</f>
        <v>10.5</v>
      </c>
      <c r="M123" s="178">
        <v>13.4</v>
      </c>
      <c r="N123" s="178">
        <f>3.3*3.412</f>
        <v>11.259599999999999</v>
      </c>
      <c r="O123" s="178"/>
      <c r="P123" s="178">
        <v>10.9</v>
      </c>
      <c r="Q123" s="179">
        <v>14</v>
      </c>
      <c r="R123" s="178">
        <v>12</v>
      </c>
      <c r="S123" s="172">
        <v>11.25</v>
      </c>
      <c r="T123" s="172">
        <v>19.9999</v>
      </c>
      <c r="U123" s="160"/>
    </row>
    <row r="124" spans="11:21" ht="15" x14ac:dyDescent="0.25">
      <c r="K124" s="174" t="s">
        <v>441</v>
      </c>
      <c r="L124" s="178">
        <f>AVERAGE(9.5,9.3)</f>
        <v>9.4</v>
      </c>
      <c r="M124" s="178">
        <v>12.4</v>
      </c>
      <c r="N124" s="178">
        <f>3.2*3.412</f>
        <v>10.9184</v>
      </c>
      <c r="O124" s="178"/>
      <c r="P124" s="178">
        <v>10.3</v>
      </c>
      <c r="Q124" s="179">
        <v>13</v>
      </c>
      <c r="R124" s="178">
        <v>12</v>
      </c>
      <c r="S124" s="172">
        <v>20</v>
      </c>
      <c r="T124" s="172">
        <v>999999</v>
      </c>
      <c r="U124" s="160"/>
    </row>
    <row r="125" spans="11:21" ht="15" x14ac:dyDescent="0.25">
      <c r="K125" s="160"/>
      <c r="L125" s="160"/>
      <c r="M125" s="160"/>
      <c r="N125" s="160"/>
      <c r="O125" s="160"/>
      <c r="P125" s="160"/>
      <c r="Q125" s="160"/>
      <c r="R125" s="160"/>
      <c r="S125" s="160"/>
      <c r="T125" s="160"/>
      <c r="U125" s="160"/>
    </row>
    <row r="126" spans="11:21" ht="15.75" thickBot="1" x14ac:dyDescent="0.3">
      <c r="K126" s="159" t="s">
        <v>442</v>
      </c>
      <c r="N126" s="160"/>
      <c r="O126" s="160"/>
      <c r="P126" s="160"/>
      <c r="Q126" s="160"/>
      <c r="R126" s="160"/>
      <c r="S126" s="160"/>
      <c r="T126" s="160"/>
      <c r="U126" s="160"/>
    </row>
    <row r="127" spans="11:21" ht="15.75" thickBot="1" x14ac:dyDescent="0.3">
      <c r="K127" s="180" t="s">
        <v>54</v>
      </c>
      <c r="L127" s="181" t="s">
        <v>443</v>
      </c>
      <c r="M127" s="181" t="s">
        <v>444</v>
      </c>
      <c r="N127" s="160"/>
      <c r="O127" s="160"/>
      <c r="P127" s="160"/>
      <c r="Q127" s="160"/>
      <c r="R127" s="160"/>
      <c r="S127" s="160"/>
      <c r="T127" s="160"/>
      <c r="U127" s="160"/>
    </row>
    <row r="128" spans="11:21" ht="15.75" thickBot="1" x14ac:dyDescent="0.3">
      <c r="K128" s="182" t="s">
        <v>415</v>
      </c>
      <c r="L128" s="183">
        <v>432</v>
      </c>
      <c r="M128" s="183">
        <v>0.14199999999999999</v>
      </c>
      <c r="N128" s="160"/>
      <c r="O128" s="160"/>
      <c r="P128" s="160"/>
      <c r="Q128" s="160"/>
      <c r="R128" s="160"/>
      <c r="S128" s="160"/>
      <c r="T128" s="160"/>
      <c r="U128" s="160"/>
    </row>
    <row r="129" spans="11:21" ht="15.75" thickBot="1" x14ac:dyDescent="0.3">
      <c r="K129" s="182" t="s">
        <v>416</v>
      </c>
      <c r="L129" s="183">
        <v>278</v>
      </c>
      <c r="M129" s="183">
        <v>0.16400000000000001</v>
      </c>
      <c r="N129" s="160"/>
      <c r="O129" s="160"/>
      <c r="P129" s="160"/>
      <c r="Q129" s="160"/>
      <c r="R129" s="160"/>
      <c r="S129" s="160"/>
      <c r="T129" s="160"/>
      <c r="U129" s="160"/>
    </row>
    <row r="130" spans="11:21" ht="15.75" thickBot="1" x14ac:dyDescent="0.3">
      <c r="K130" s="182" t="s">
        <v>74</v>
      </c>
      <c r="L130" s="183">
        <v>362</v>
      </c>
      <c r="M130" s="183">
        <v>0.155</v>
      </c>
      <c r="N130" s="160"/>
      <c r="O130" s="160"/>
      <c r="P130" s="160"/>
      <c r="Q130" s="160"/>
      <c r="R130" s="160"/>
      <c r="S130" s="160"/>
      <c r="T130" s="160"/>
      <c r="U130" s="160"/>
    </row>
    <row r="131" spans="11:21" ht="15.75" thickBot="1" x14ac:dyDescent="0.3">
      <c r="K131" s="182" t="s">
        <v>417</v>
      </c>
      <c r="L131" s="183">
        <v>270</v>
      </c>
      <c r="M131" s="183">
        <v>0.153</v>
      </c>
      <c r="N131" s="160"/>
      <c r="O131" s="160"/>
      <c r="P131" s="160"/>
      <c r="Q131" s="160"/>
      <c r="R131" s="160"/>
      <c r="S131" s="160"/>
      <c r="T131" s="160"/>
      <c r="U131" s="160"/>
    </row>
    <row r="132" spans="11:21" ht="15.75" thickBot="1" x14ac:dyDescent="0.3">
      <c r="K132" s="182" t="s">
        <v>418</v>
      </c>
      <c r="L132" s="183">
        <v>381</v>
      </c>
      <c r="M132" s="183">
        <v>0.14000000000000001</v>
      </c>
      <c r="N132" s="160"/>
      <c r="O132" s="160"/>
      <c r="P132" s="160"/>
      <c r="Q132" s="160"/>
      <c r="R132" s="160"/>
      <c r="S132" s="160"/>
      <c r="T132" s="160"/>
      <c r="U132" s="160"/>
    </row>
    <row r="133" spans="11:21" ht="15.75" thickBot="1" x14ac:dyDescent="0.3">
      <c r="K133" s="182" t="s">
        <v>419</v>
      </c>
      <c r="L133" s="183">
        <v>363</v>
      </c>
      <c r="M133" s="183">
        <v>0.155</v>
      </c>
      <c r="N133" s="160"/>
      <c r="O133" s="160"/>
      <c r="P133" s="160"/>
      <c r="Q133" s="160"/>
      <c r="R133" s="160"/>
      <c r="S133" s="160"/>
      <c r="T133" s="160"/>
      <c r="U133" s="160"/>
    </row>
    <row r="134" spans="11:21" ht="15.75" thickBot="1" x14ac:dyDescent="0.3">
      <c r="K134" s="182" t="s">
        <v>420</v>
      </c>
      <c r="L134" s="183">
        <v>580</v>
      </c>
      <c r="M134" s="183">
        <v>0.16</v>
      </c>
      <c r="N134" s="160"/>
      <c r="O134" s="160"/>
      <c r="P134" s="160"/>
      <c r="Q134" s="160"/>
      <c r="R134" s="160"/>
      <c r="S134" s="160"/>
      <c r="T134" s="160"/>
      <c r="U134" s="160"/>
    </row>
    <row r="135" spans="11:21" ht="15.75" thickBot="1" x14ac:dyDescent="0.3">
      <c r="K135" s="182" t="s">
        <v>421</v>
      </c>
      <c r="L135" s="183">
        <v>424</v>
      </c>
      <c r="M135" s="183">
        <v>0.129</v>
      </c>
      <c r="N135" s="160"/>
      <c r="O135" s="160"/>
      <c r="P135" s="160"/>
      <c r="Q135" s="160"/>
      <c r="R135" s="160"/>
      <c r="S135" s="160"/>
      <c r="T135" s="160"/>
      <c r="U135" s="160"/>
    </row>
    <row r="136" spans="11:21" ht="15.75" thickBot="1" x14ac:dyDescent="0.3">
      <c r="K136" s="182" t="s">
        <v>422</v>
      </c>
      <c r="L136" s="183">
        <v>375</v>
      </c>
      <c r="M136" s="183">
        <v>0.153</v>
      </c>
      <c r="N136" s="160"/>
      <c r="O136" s="160"/>
      <c r="P136" s="160"/>
      <c r="Q136" s="160"/>
      <c r="R136" s="160"/>
      <c r="S136" s="160"/>
      <c r="T136" s="160"/>
      <c r="U136" s="160"/>
    </row>
    <row r="137" spans="11:21" ht="15.75" thickBot="1" x14ac:dyDescent="0.3">
      <c r="K137" s="182" t="s">
        <v>423</v>
      </c>
      <c r="L137" s="183">
        <v>275</v>
      </c>
      <c r="M137" s="183">
        <v>0.153</v>
      </c>
      <c r="N137" s="160"/>
      <c r="O137" s="160"/>
      <c r="P137" s="160"/>
      <c r="Q137" s="160"/>
      <c r="R137" s="160"/>
      <c r="S137" s="160"/>
      <c r="T137" s="160"/>
      <c r="U137" s="160"/>
    </row>
    <row r="138" spans="11:21" ht="15.75" thickBot="1" x14ac:dyDescent="0.3">
      <c r="K138" s="182" t="s">
        <v>239</v>
      </c>
      <c r="L138" s="183">
        <v>432</v>
      </c>
      <c r="M138" s="183">
        <v>0.14199999999999999</v>
      </c>
      <c r="N138" s="160"/>
      <c r="O138" s="160"/>
      <c r="P138" s="160"/>
      <c r="Q138" s="160"/>
      <c r="R138" s="160"/>
      <c r="S138" s="160"/>
      <c r="T138" s="160"/>
      <c r="U138" s="160"/>
    </row>
    <row r="139" spans="11:21" ht="15.75" thickBot="1" x14ac:dyDescent="0.3">
      <c r="K139" s="159" t="s">
        <v>445</v>
      </c>
      <c r="N139" s="160"/>
      <c r="O139" s="160"/>
      <c r="P139" s="160"/>
      <c r="Q139" s="160"/>
      <c r="R139" s="160"/>
      <c r="S139" s="160"/>
      <c r="T139" s="160"/>
      <c r="U139" s="160"/>
    </row>
    <row r="140" spans="11:21" ht="15.75" thickBot="1" x14ac:dyDescent="0.3">
      <c r="K140" s="180" t="s">
        <v>54</v>
      </c>
      <c r="L140" s="181" t="s">
        <v>443</v>
      </c>
      <c r="M140" s="181" t="s">
        <v>444</v>
      </c>
      <c r="N140" s="160"/>
      <c r="O140" s="160"/>
      <c r="P140" s="160"/>
      <c r="Q140" s="160"/>
      <c r="R140" s="160"/>
      <c r="S140" s="160"/>
      <c r="T140" s="160"/>
      <c r="U140" s="160"/>
    </row>
    <row r="141" spans="11:21" ht="15.75" thickBot="1" x14ac:dyDescent="0.3">
      <c r="K141" s="182" t="s">
        <v>415</v>
      </c>
      <c r="L141" s="183">
        <v>507</v>
      </c>
      <c r="M141" s="183">
        <v>0.14199999999999999</v>
      </c>
      <c r="N141" s="160"/>
      <c r="O141" s="160"/>
      <c r="P141" s="160"/>
      <c r="Q141" s="160"/>
      <c r="R141" s="160"/>
      <c r="S141" s="160"/>
      <c r="T141" s="160"/>
      <c r="U141" s="160"/>
    </row>
    <row r="142" spans="11:21" ht="15.75" thickBot="1" x14ac:dyDescent="0.3">
      <c r="K142" s="182" t="s">
        <v>416</v>
      </c>
      <c r="L142" s="183">
        <v>320</v>
      </c>
      <c r="M142" s="183">
        <v>0.16400000000000001</v>
      </c>
      <c r="N142" s="160"/>
      <c r="O142" s="160"/>
      <c r="P142" s="160"/>
      <c r="Q142" s="160"/>
      <c r="R142" s="160"/>
      <c r="S142" s="160"/>
      <c r="T142" s="160"/>
      <c r="U142" s="160"/>
    </row>
    <row r="143" spans="11:21" ht="15.75" thickBot="1" x14ac:dyDescent="0.3">
      <c r="K143" s="182" t="s">
        <v>74</v>
      </c>
      <c r="L143" s="183">
        <v>394</v>
      </c>
      <c r="M143" s="183">
        <v>0.155</v>
      </c>
      <c r="N143" s="160"/>
      <c r="O143" s="160"/>
      <c r="P143" s="160"/>
      <c r="Q143" s="160"/>
      <c r="R143" s="160"/>
      <c r="S143" s="160"/>
      <c r="T143" s="160"/>
      <c r="U143" s="160"/>
    </row>
    <row r="144" spans="11:21" ht="15.75" thickBot="1" x14ac:dyDescent="0.3">
      <c r="K144" s="182" t="s">
        <v>417</v>
      </c>
      <c r="L144" s="183">
        <v>378</v>
      </c>
      <c r="M144" s="183">
        <v>0.153</v>
      </c>
      <c r="N144" s="160"/>
      <c r="O144" s="160"/>
      <c r="P144" s="160"/>
      <c r="Q144" s="160"/>
      <c r="R144" s="160"/>
      <c r="S144" s="160"/>
      <c r="T144" s="160"/>
      <c r="U144" s="160"/>
    </row>
    <row r="145" spans="11:21" ht="15.75" thickBot="1" x14ac:dyDescent="0.3">
      <c r="K145" s="182" t="s">
        <v>418</v>
      </c>
      <c r="L145" s="183">
        <v>494</v>
      </c>
      <c r="M145" s="183">
        <v>0.14000000000000001</v>
      </c>
      <c r="N145" s="160"/>
      <c r="O145" s="160"/>
      <c r="P145" s="160"/>
      <c r="Q145" s="160"/>
      <c r="R145" s="160"/>
      <c r="S145" s="160"/>
      <c r="T145" s="160"/>
      <c r="U145" s="160"/>
    </row>
    <row r="146" spans="11:21" ht="15.75" thickBot="1" x14ac:dyDescent="0.3">
      <c r="K146" s="182" t="s">
        <v>419</v>
      </c>
      <c r="L146" s="183">
        <v>409</v>
      </c>
      <c r="M146" s="183">
        <v>0.155</v>
      </c>
      <c r="N146" s="160"/>
      <c r="O146" s="160"/>
      <c r="P146" s="160"/>
      <c r="Q146" s="160"/>
      <c r="R146" s="160"/>
      <c r="S146" s="160"/>
      <c r="T146" s="160"/>
      <c r="U146" s="160"/>
    </row>
    <row r="147" spans="11:21" ht="15.75" thickBot="1" x14ac:dyDescent="0.3">
      <c r="K147" s="182" t="s">
        <v>420</v>
      </c>
      <c r="L147" s="183">
        <v>722</v>
      </c>
      <c r="M147" s="183">
        <v>0.16</v>
      </c>
      <c r="N147" s="160"/>
      <c r="O147" s="160"/>
      <c r="P147" s="160"/>
      <c r="Q147" s="160"/>
      <c r="R147" s="160"/>
      <c r="S147" s="160"/>
      <c r="T147" s="160"/>
      <c r="U147" s="160"/>
    </row>
    <row r="148" spans="11:21" ht="15.75" thickBot="1" x14ac:dyDescent="0.3">
      <c r="K148" s="182" t="s">
        <v>421</v>
      </c>
      <c r="L148" s="183">
        <v>462</v>
      </c>
      <c r="M148" s="183">
        <v>0.129</v>
      </c>
      <c r="N148" s="160"/>
      <c r="O148" s="160"/>
      <c r="P148" s="160"/>
      <c r="Q148" s="160"/>
      <c r="R148" s="160"/>
      <c r="S148" s="160"/>
      <c r="T148" s="160"/>
      <c r="U148" s="160"/>
    </row>
    <row r="149" spans="11:21" ht="15.75" thickBot="1" x14ac:dyDescent="0.3">
      <c r="K149" s="182" t="s">
        <v>422</v>
      </c>
      <c r="L149" s="183">
        <v>445</v>
      </c>
      <c r="M149" s="183">
        <v>0.153</v>
      </c>
      <c r="N149" s="160"/>
      <c r="O149" s="160"/>
      <c r="P149" s="160"/>
      <c r="Q149" s="160"/>
      <c r="R149" s="160"/>
      <c r="S149" s="160"/>
      <c r="T149" s="160"/>
      <c r="U149" s="160"/>
    </row>
    <row r="150" spans="11:21" ht="15.75" thickBot="1" x14ac:dyDescent="0.3">
      <c r="K150" s="182" t="s">
        <v>423</v>
      </c>
      <c r="L150" s="183">
        <v>442</v>
      </c>
      <c r="M150" s="183">
        <v>0.153</v>
      </c>
      <c r="N150" s="160"/>
      <c r="O150" s="160"/>
      <c r="P150" s="160"/>
      <c r="Q150" s="160"/>
      <c r="R150" s="160"/>
      <c r="S150" s="160"/>
      <c r="T150" s="160"/>
      <c r="U150" s="160"/>
    </row>
    <row r="151" spans="11:21" ht="15.75" thickBot="1" x14ac:dyDescent="0.3">
      <c r="K151" s="182" t="s">
        <v>239</v>
      </c>
      <c r="L151" s="183">
        <v>507</v>
      </c>
      <c r="M151" s="183">
        <v>0.14199999999999999</v>
      </c>
      <c r="N151" s="160"/>
      <c r="O151" s="160"/>
      <c r="P151" s="160"/>
      <c r="Q151" s="160"/>
      <c r="R151" s="160"/>
      <c r="S151" s="160"/>
      <c r="T151" s="160"/>
      <c r="U151" s="160"/>
    </row>
    <row r="152" spans="11:21" ht="15" x14ac:dyDescent="0.25">
      <c r="K152" s="160"/>
      <c r="L152" s="160"/>
      <c r="M152" s="160"/>
      <c r="N152" s="160"/>
      <c r="O152" s="160"/>
      <c r="P152" s="160"/>
      <c r="Q152" s="160"/>
      <c r="R152" s="160"/>
      <c r="S152" s="160"/>
      <c r="T152" s="160"/>
      <c r="U152" s="160"/>
    </row>
    <row r="153" spans="11:21" ht="15.75" thickBot="1" x14ac:dyDescent="0.3">
      <c r="K153" s="159" t="s">
        <v>446</v>
      </c>
      <c r="M153" s="4" t="s">
        <v>447</v>
      </c>
      <c r="N153" s="4" t="s">
        <v>448</v>
      </c>
      <c r="O153" s="4"/>
      <c r="P153" s="160"/>
      <c r="Q153" s="4" t="s">
        <v>447</v>
      </c>
      <c r="R153" s="4" t="s">
        <v>448</v>
      </c>
      <c r="S153" s="160"/>
      <c r="T153" s="160"/>
      <c r="U153" s="160"/>
    </row>
    <row r="154" spans="11:21" ht="15.75" thickBot="1" x14ac:dyDescent="0.25">
      <c r="K154" s="315" t="s">
        <v>54</v>
      </c>
      <c r="L154" s="317" t="s">
        <v>449</v>
      </c>
      <c r="M154" s="305" t="s">
        <v>450</v>
      </c>
      <c r="N154" s="306"/>
      <c r="O154" s="306"/>
      <c r="P154" s="306"/>
      <c r="Q154" s="306"/>
      <c r="R154" s="306"/>
      <c r="S154" s="307"/>
      <c r="T154" s="184" t="s">
        <v>451</v>
      </c>
      <c r="U154" s="185"/>
    </row>
    <row r="155" spans="11:21" ht="15.75" thickBot="1" x14ac:dyDescent="0.25">
      <c r="K155" s="316"/>
      <c r="L155" s="318"/>
      <c r="M155" s="310" t="s">
        <v>452</v>
      </c>
      <c r="N155" s="319"/>
      <c r="O155" s="319"/>
      <c r="P155" s="311"/>
      <c r="Q155" s="310" t="s">
        <v>453</v>
      </c>
      <c r="R155" s="319"/>
      <c r="S155" s="311"/>
      <c r="T155" s="186" t="s">
        <v>452</v>
      </c>
      <c r="U155" s="187" t="s">
        <v>453</v>
      </c>
    </row>
    <row r="156" spans="11:21" ht="15.75" thickBot="1" x14ac:dyDescent="0.3">
      <c r="K156" s="188" t="s">
        <v>415</v>
      </c>
      <c r="L156" s="189" t="s">
        <v>447</v>
      </c>
      <c r="M156" s="190">
        <v>408</v>
      </c>
      <c r="N156" s="191">
        <v>403</v>
      </c>
      <c r="O156" s="191"/>
      <c r="P156" s="192">
        <f>AVERAGE(M156:N156)</f>
        <v>405.5</v>
      </c>
      <c r="Q156" s="191">
        <v>0.16900000000000001</v>
      </c>
      <c r="R156" s="191">
        <v>0.17699999999999999</v>
      </c>
      <c r="S156" s="193">
        <f>AVERAGE(Q156:R156)</f>
        <v>0.17299999999999999</v>
      </c>
      <c r="T156" s="194">
        <v>658</v>
      </c>
      <c r="U156" s="195">
        <v>0.11</v>
      </c>
    </row>
    <row r="157" spans="11:21" ht="15.75" thickBot="1" x14ac:dyDescent="0.3">
      <c r="K157" s="196"/>
      <c r="L157" s="189" t="s">
        <v>448</v>
      </c>
      <c r="M157" s="197"/>
      <c r="N157" s="175"/>
      <c r="O157" s="175"/>
      <c r="P157" s="198"/>
      <c r="Q157" s="175"/>
      <c r="R157" s="175"/>
      <c r="S157" s="199"/>
      <c r="T157" s="194">
        <v>642</v>
      </c>
      <c r="U157" s="195">
        <v>0.11</v>
      </c>
    </row>
    <row r="158" spans="11:21" ht="15.75" thickBot="1" x14ac:dyDescent="0.3">
      <c r="K158" s="188" t="s">
        <v>416</v>
      </c>
      <c r="L158" s="189" t="s">
        <v>447</v>
      </c>
      <c r="M158" s="200">
        <v>262</v>
      </c>
      <c r="N158" s="17">
        <v>259</v>
      </c>
      <c r="O158" s="17"/>
      <c r="P158" s="198">
        <f t="shared" ref="P158:P174" si="3">AVERAGE(M158:N158)</f>
        <v>260.5</v>
      </c>
      <c r="Q158" s="17">
        <v>0.19500000000000001</v>
      </c>
      <c r="R158" s="17">
        <v>0.20399999999999999</v>
      </c>
      <c r="S158" s="199">
        <f t="shared" ref="S158:S174" si="4">AVERAGE(Q158:R158)</f>
        <v>0.19950000000000001</v>
      </c>
      <c r="T158" s="194">
        <v>423</v>
      </c>
      <c r="U158" s="195">
        <v>0.127</v>
      </c>
    </row>
    <row r="159" spans="11:21" ht="15.75" thickBot="1" x14ac:dyDescent="0.3">
      <c r="K159" s="196"/>
      <c r="L159" s="189" t="s">
        <v>448</v>
      </c>
      <c r="M159" s="197"/>
      <c r="N159" s="175"/>
      <c r="O159" s="175"/>
      <c r="P159" s="198"/>
      <c r="Q159" s="175"/>
      <c r="R159" s="175"/>
      <c r="S159" s="199"/>
      <c r="T159" s="194">
        <v>413</v>
      </c>
      <c r="U159" s="195">
        <v>0.127</v>
      </c>
    </row>
    <row r="160" spans="11:21" ht="15.75" thickBot="1" x14ac:dyDescent="0.3">
      <c r="K160" s="188" t="s">
        <v>74</v>
      </c>
      <c r="L160" s="189" t="s">
        <v>447</v>
      </c>
      <c r="M160" s="200">
        <v>341</v>
      </c>
      <c r="N160" s="17">
        <v>338</v>
      </c>
      <c r="O160" s="17"/>
      <c r="P160" s="198">
        <f t="shared" si="3"/>
        <v>339.5</v>
      </c>
      <c r="Q160" s="17">
        <v>0.184</v>
      </c>
      <c r="R160" s="17">
        <v>0.192</v>
      </c>
      <c r="S160" s="199">
        <f t="shared" si="4"/>
        <v>0.188</v>
      </c>
      <c r="T160" s="194">
        <v>551</v>
      </c>
      <c r="U160" s="195">
        <v>0.12</v>
      </c>
    </row>
    <row r="161" spans="11:21" ht="15.75" thickBot="1" x14ac:dyDescent="0.3">
      <c r="K161" s="196"/>
      <c r="L161" s="189" t="s">
        <v>448</v>
      </c>
      <c r="M161" s="197"/>
      <c r="N161" s="175"/>
      <c r="O161" s="175"/>
      <c r="P161" s="198"/>
      <c r="Q161" s="175"/>
      <c r="R161" s="175"/>
      <c r="S161" s="199"/>
      <c r="T161" s="194">
        <v>538</v>
      </c>
      <c r="U161" s="195">
        <v>0.12</v>
      </c>
    </row>
    <row r="162" spans="11:21" ht="15.75" thickBot="1" x14ac:dyDescent="0.3">
      <c r="K162" s="188" t="s">
        <v>417</v>
      </c>
      <c r="L162" s="189" t="s">
        <v>447</v>
      </c>
      <c r="M162" s="200">
        <v>255</v>
      </c>
      <c r="N162" s="17">
        <v>252</v>
      </c>
      <c r="O162" s="17"/>
      <c r="P162" s="198">
        <f t="shared" si="3"/>
        <v>253.5</v>
      </c>
      <c r="Q162" s="17">
        <v>0.182</v>
      </c>
      <c r="R162" s="17">
        <v>0.19</v>
      </c>
      <c r="S162" s="199">
        <f t="shared" si="4"/>
        <v>0.186</v>
      </c>
      <c r="T162" s="194">
        <v>411</v>
      </c>
      <c r="U162" s="195">
        <v>0.11899999999999999</v>
      </c>
    </row>
    <row r="163" spans="11:21" ht="15.75" thickBot="1" x14ac:dyDescent="0.3">
      <c r="K163" s="196"/>
      <c r="L163" s="189" t="s">
        <v>448</v>
      </c>
      <c r="M163" s="197"/>
      <c r="N163" s="175"/>
      <c r="O163" s="175"/>
      <c r="P163" s="198"/>
      <c r="Q163" s="175"/>
      <c r="R163" s="175"/>
      <c r="S163" s="199"/>
      <c r="T163" s="194">
        <v>401</v>
      </c>
      <c r="U163" s="195">
        <v>0.11899999999999999</v>
      </c>
    </row>
    <row r="164" spans="11:21" ht="15.75" thickBot="1" x14ac:dyDescent="0.3">
      <c r="K164" s="188" t="s">
        <v>418</v>
      </c>
      <c r="L164" s="189" t="s">
        <v>447</v>
      </c>
      <c r="M164" s="200">
        <v>360</v>
      </c>
      <c r="N164" s="17">
        <v>356</v>
      </c>
      <c r="O164" s="17"/>
      <c r="P164" s="198">
        <f t="shared" si="3"/>
        <v>358</v>
      </c>
      <c r="Q164" s="17">
        <v>0.16700000000000001</v>
      </c>
      <c r="R164" s="17">
        <v>0.17399999999999999</v>
      </c>
      <c r="S164" s="199">
        <f t="shared" si="4"/>
        <v>0.17049999999999998</v>
      </c>
      <c r="T164" s="194">
        <v>580</v>
      </c>
      <c r="U164" s="195">
        <v>0.109</v>
      </c>
    </row>
    <row r="165" spans="11:21" ht="15.75" thickBot="1" x14ac:dyDescent="0.3">
      <c r="K165" s="196"/>
      <c r="L165" s="189" t="s">
        <v>448</v>
      </c>
      <c r="M165" s="197"/>
      <c r="N165" s="175"/>
      <c r="O165" s="175"/>
      <c r="P165" s="198"/>
      <c r="Q165" s="175"/>
      <c r="R165" s="175"/>
      <c r="S165" s="199"/>
      <c r="T165" s="194">
        <v>566</v>
      </c>
      <c r="U165" s="195">
        <v>0.109</v>
      </c>
    </row>
    <row r="166" spans="11:21" ht="15.75" thickBot="1" x14ac:dyDescent="0.3">
      <c r="K166" s="188" t="s">
        <v>419</v>
      </c>
      <c r="L166" s="189" t="s">
        <v>447</v>
      </c>
      <c r="M166" s="200">
        <v>343</v>
      </c>
      <c r="N166" s="17">
        <v>339</v>
      </c>
      <c r="O166" s="17"/>
      <c r="P166" s="198">
        <f t="shared" si="3"/>
        <v>341</v>
      </c>
      <c r="Q166" s="17">
        <v>0.184</v>
      </c>
      <c r="R166" s="17">
        <v>0.192</v>
      </c>
      <c r="S166" s="199">
        <f t="shared" si="4"/>
        <v>0.188</v>
      </c>
      <c r="T166" s="194">
        <v>553</v>
      </c>
      <c r="U166" s="195">
        <v>0.12</v>
      </c>
    </row>
    <row r="167" spans="11:21" ht="15.75" thickBot="1" x14ac:dyDescent="0.3">
      <c r="K167" s="196"/>
      <c r="L167" s="189" t="s">
        <v>448</v>
      </c>
      <c r="M167" s="197"/>
      <c r="N167" s="175"/>
      <c r="O167" s="175"/>
      <c r="P167" s="198"/>
      <c r="Q167" s="175"/>
      <c r="R167" s="175"/>
      <c r="S167" s="199"/>
      <c r="T167" s="194">
        <v>540</v>
      </c>
      <c r="U167" s="195">
        <v>0.12</v>
      </c>
    </row>
    <row r="168" spans="11:21" ht="15.75" thickBot="1" x14ac:dyDescent="0.3">
      <c r="K168" s="188" t="s">
        <v>420</v>
      </c>
      <c r="L168" s="189" t="s">
        <v>447</v>
      </c>
      <c r="M168" s="200">
        <v>548</v>
      </c>
      <c r="N168" s="17">
        <v>542</v>
      </c>
      <c r="O168" s="17"/>
      <c r="P168" s="198">
        <f t="shared" si="3"/>
        <v>545</v>
      </c>
      <c r="Q168" s="17">
        <v>0.191</v>
      </c>
      <c r="R168" s="17">
        <v>0.19900000000000001</v>
      </c>
      <c r="S168" s="199">
        <f t="shared" si="4"/>
        <v>0.19500000000000001</v>
      </c>
      <c r="T168" s="194">
        <v>884</v>
      </c>
      <c r="U168" s="195">
        <v>0.125</v>
      </c>
    </row>
    <row r="169" spans="11:21" ht="15.75" thickBot="1" x14ac:dyDescent="0.3">
      <c r="K169" s="196"/>
      <c r="L169" s="189" t="s">
        <v>448</v>
      </c>
      <c r="M169" s="197"/>
      <c r="N169" s="175"/>
      <c r="O169" s="175"/>
      <c r="P169" s="198"/>
      <c r="Q169" s="175"/>
      <c r="R169" s="175"/>
      <c r="S169" s="199"/>
      <c r="T169" s="194">
        <v>863</v>
      </c>
      <c r="U169" s="195">
        <v>0.125</v>
      </c>
    </row>
    <row r="170" spans="11:21" ht="15.75" thickBot="1" x14ac:dyDescent="0.3">
      <c r="K170" s="188" t="s">
        <v>421</v>
      </c>
      <c r="L170" s="189" t="s">
        <v>447</v>
      </c>
      <c r="M170" s="200">
        <v>400</v>
      </c>
      <c r="N170" s="17">
        <v>395</v>
      </c>
      <c r="O170" s="17"/>
      <c r="P170" s="198">
        <f t="shared" si="3"/>
        <v>397.5</v>
      </c>
      <c r="Q170" s="17">
        <v>0.154</v>
      </c>
      <c r="R170" s="17">
        <v>0.161</v>
      </c>
      <c r="S170" s="199">
        <f t="shared" si="4"/>
        <v>0.1575</v>
      </c>
      <c r="T170" s="194">
        <v>645</v>
      </c>
      <c r="U170" s="195">
        <v>0.10100000000000001</v>
      </c>
    </row>
    <row r="171" spans="11:21" ht="15.75" thickBot="1" x14ac:dyDescent="0.3">
      <c r="K171" s="196"/>
      <c r="L171" s="189" t="s">
        <v>448</v>
      </c>
      <c r="M171" s="197"/>
      <c r="N171" s="175"/>
      <c r="O171" s="175"/>
      <c r="P171" s="198"/>
      <c r="Q171" s="175"/>
      <c r="R171" s="175"/>
      <c r="S171" s="199"/>
      <c r="T171" s="194">
        <v>630</v>
      </c>
      <c r="U171" s="195">
        <v>0.10100000000000001</v>
      </c>
    </row>
    <row r="172" spans="11:21" ht="15.75" thickBot="1" x14ac:dyDescent="0.3">
      <c r="K172" s="188" t="s">
        <v>422</v>
      </c>
      <c r="L172" s="189" t="s">
        <v>447</v>
      </c>
      <c r="M172" s="200">
        <v>354</v>
      </c>
      <c r="N172" s="17">
        <v>350</v>
      </c>
      <c r="O172" s="17"/>
      <c r="P172" s="198">
        <f t="shared" si="3"/>
        <v>352</v>
      </c>
      <c r="Q172" s="17">
        <v>0.182</v>
      </c>
      <c r="R172" s="17">
        <v>0.19</v>
      </c>
      <c r="S172" s="199">
        <f t="shared" si="4"/>
        <v>0.186</v>
      </c>
      <c r="T172" s="194">
        <v>570</v>
      </c>
      <c r="U172" s="195">
        <v>0.11899999999999999</v>
      </c>
    </row>
    <row r="173" spans="11:21" ht="15.75" thickBot="1" x14ac:dyDescent="0.3">
      <c r="K173" s="196"/>
      <c r="L173" s="189" t="s">
        <v>448</v>
      </c>
      <c r="M173" s="197"/>
      <c r="N173" s="175"/>
      <c r="O173" s="175"/>
      <c r="P173" s="198"/>
      <c r="Q173" s="175"/>
      <c r="R173" s="175"/>
      <c r="S173" s="199"/>
      <c r="T173" s="194">
        <v>557</v>
      </c>
      <c r="U173" s="195">
        <v>0.11899999999999999</v>
      </c>
    </row>
    <row r="174" spans="11:21" ht="15.75" thickBot="1" x14ac:dyDescent="0.3">
      <c r="K174" s="188" t="s">
        <v>423</v>
      </c>
      <c r="L174" s="189" t="s">
        <v>447</v>
      </c>
      <c r="M174" s="200">
        <v>259</v>
      </c>
      <c r="N174" s="17">
        <v>256</v>
      </c>
      <c r="O174" s="17"/>
      <c r="P174" s="198">
        <f t="shared" si="3"/>
        <v>257.5</v>
      </c>
      <c r="Q174" s="17">
        <v>0.182</v>
      </c>
      <c r="R174" s="17">
        <v>0.19</v>
      </c>
      <c r="S174" s="199">
        <f t="shared" si="4"/>
        <v>0.186</v>
      </c>
      <c r="T174" s="194">
        <v>418</v>
      </c>
      <c r="U174" s="195">
        <v>0.11899999999999999</v>
      </c>
    </row>
    <row r="175" spans="11:21" ht="15.75" thickBot="1" x14ac:dyDescent="0.3">
      <c r="K175" s="201"/>
      <c r="L175" s="202" t="s">
        <v>448</v>
      </c>
      <c r="M175" s="203"/>
      <c r="N175" s="204"/>
      <c r="O175" s="204"/>
      <c r="P175" s="204"/>
      <c r="Q175" s="204"/>
      <c r="R175" s="204"/>
      <c r="S175" s="205"/>
      <c r="T175" s="206">
        <v>408</v>
      </c>
      <c r="U175" s="207">
        <v>0.11899999999999999</v>
      </c>
    </row>
    <row r="176" spans="11:21" ht="15.75" thickBot="1" x14ac:dyDescent="0.3">
      <c r="K176" t="s">
        <v>454</v>
      </c>
      <c r="R176" s="160"/>
      <c r="S176" s="160"/>
      <c r="T176" s="160"/>
      <c r="U176" s="160"/>
    </row>
    <row r="177" spans="11:21" ht="15.75" thickBot="1" x14ac:dyDescent="0.3">
      <c r="K177" s="301" t="s">
        <v>54</v>
      </c>
      <c r="L177" s="303" t="s">
        <v>449</v>
      </c>
      <c r="M177" s="305" t="s">
        <v>450</v>
      </c>
      <c r="N177" s="306"/>
      <c r="O177" s="306"/>
      <c r="P177" s="306"/>
      <c r="Q177" s="307"/>
      <c r="R177" s="308" t="s">
        <v>451</v>
      </c>
      <c r="S177" s="309"/>
      <c r="T177" s="160"/>
      <c r="U177" s="160"/>
    </row>
    <row r="178" spans="11:21" ht="30.75" thickBot="1" x14ac:dyDescent="0.3">
      <c r="K178" s="302"/>
      <c r="L178" s="304"/>
      <c r="M178" s="310" t="s">
        <v>452</v>
      </c>
      <c r="N178" s="311"/>
      <c r="O178" s="228"/>
      <c r="P178" s="310" t="s">
        <v>453</v>
      </c>
      <c r="Q178" s="311"/>
      <c r="R178" s="186" t="s">
        <v>452</v>
      </c>
      <c r="S178" s="186" t="s">
        <v>453</v>
      </c>
      <c r="T178" s="160"/>
      <c r="U178" s="160"/>
    </row>
    <row r="179" spans="11:21" ht="15.75" thickBot="1" x14ac:dyDescent="0.3">
      <c r="K179" s="208" t="s">
        <v>415</v>
      </c>
      <c r="L179" s="189" t="s">
        <v>455</v>
      </c>
      <c r="M179" s="190">
        <v>214</v>
      </c>
      <c r="N179" s="209">
        <f>AVERAGE(M179:M182)</f>
        <v>223.25</v>
      </c>
      <c r="O179" s="209"/>
      <c r="P179" s="191">
        <v>9.1999999999999998E-2</v>
      </c>
      <c r="Q179" s="210">
        <f>AVERAGE(P179:P182)</f>
        <v>8.4250000000000005E-2</v>
      </c>
      <c r="R179" s="194">
        <v>356</v>
      </c>
      <c r="S179" s="194">
        <v>7.5999999999999998E-2</v>
      </c>
      <c r="T179" s="160"/>
      <c r="U179" s="160"/>
    </row>
    <row r="180" spans="11:21" ht="15.75" thickBot="1" x14ac:dyDescent="0.3">
      <c r="K180" s="211"/>
      <c r="L180" s="189" t="s">
        <v>456</v>
      </c>
      <c r="M180" s="200">
        <v>264</v>
      </c>
      <c r="N180" s="175"/>
      <c r="O180" s="175"/>
      <c r="P180" s="17">
        <v>9.9000000000000005E-2</v>
      </c>
      <c r="Q180" s="212"/>
      <c r="R180" s="194">
        <v>344</v>
      </c>
      <c r="S180" s="194">
        <v>0.09</v>
      </c>
      <c r="T180" s="160"/>
      <c r="U180" s="160"/>
    </row>
    <row r="181" spans="11:21" ht="15.75" thickBot="1" x14ac:dyDescent="0.3">
      <c r="K181" s="211"/>
      <c r="L181" s="189" t="s">
        <v>457</v>
      </c>
      <c r="M181" s="200">
        <v>223</v>
      </c>
      <c r="N181" s="175"/>
      <c r="O181" s="175"/>
      <c r="P181" s="17">
        <v>7.2999999999999995E-2</v>
      </c>
      <c r="Q181" s="212"/>
      <c r="R181" s="194">
        <v>342</v>
      </c>
      <c r="S181" s="194">
        <v>8.3000000000000004E-2</v>
      </c>
      <c r="T181" s="160"/>
      <c r="U181" s="160"/>
    </row>
    <row r="182" spans="11:21" ht="15.75" thickBot="1" x14ac:dyDescent="0.3">
      <c r="K182" s="213"/>
      <c r="L182" s="189" t="s">
        <v>458</v>
      </c>
      <c r="M182" s="200">
        <v>192</v>
      </c>
      <c r="N182" s="175"/>
      <c r="O182" s="175"/>
      <c r="P182" s="17">
        <v>7.2999999999999995E-2</v>
      </c>
      <c r="Q182" s="212"/>
      <c r="R182" s="194">
        <v>319</v>
      </c>
      <c r="S182" s="194">
        <v>0.06</v>
      </c>
      <c r="T182" s="160"/>
      <c r="U182" s="160"/>
    </row>
    <row r="183" spans="11:21" ht="15.75" thickBot="1" x14ac:dyDescent="0.3">
      <c r="K183" s="208" t="s">
        <v>416</v>
      </c>
      <c r="L183" s="189" t="s">
        <v>455</v>
      </c>
      <c r="M183" s="200">
        <v>137</v>
      </c>
      <c r="N183" s="214">
        <f>AVERAGE(M183:M186)</f>
        <v>143.25</v>
      </c>
      <c r="O183" s="214"/>
      <c r="P183" s="17">
        <v>0.106</v>
      </c>
      <c r="Q183" s="215">
        <f>AVERAGE(P183:P186)</f>
        <v>9.7250000000000003E-2</v>
      </c>
      <c r="R183" s="194">
        <v>229</v>
      </c>
      <c r="S183" s="194">
        <v>8.7999999999999995E-2</v>
      </c>
      <c r="T183" s="160"/>
      <c r="U183" s="160"/>
    </row>
    <row r="184" spans="11:21" ht="15.75" thickBot="1" x14ac:dyDescent="0.3">
      <c r="K184" s="211"/>
      <c r="L184" s="189" t="s">
        <v>456</v>
      </c>
      <c r="M184" s="200">
        <v>169</v>
      </c>
      <c r="N184" s="175"/>
      <c r="O184" s="175"/>
      <c r="P184" s="17">
        <v>0.114</v>
      </c>
      <c r="Q184" s="212"/>
      <c r="R184" s="194">
        <v>221</v>
      </c>
      <c r="S184" s="194">
        <v>0.104</v>
      </c>
      <c r="T184" s="160"/>
      <c r="U184" s="160"/>
    </row>
    <row r="185" spans="11:21" ht="15.75" thickBot="1" x14ac:dyDescent="0.3">
      <c r="K185" s="211"/>
      <c r="L185" s="189" t="s">
        <v>457</v>
      </c>
      <c r="M185" s="200">
        <v>143</v>
      </c>
      <c r="N185" s="175"/>
      <c r="O185" s="175"/>
      <c r="P185" s="17">
        <v>8.5000000000000006E-2</v>
      </c>
      <c r="Q185" s="212"/>
      <c r="R185" s="194">
        <v>220</v>
      </c>
      <c r="S185" s="194">
        <v>9.5000000000000001E-2</v>
      </c>
      <c r="T185" s="160"/>
      <c r="U185" s="160"/>
    </row>
    <row r="186" spans="11:21" ht="15.75" thickBot="1" x14ac:dyDescent="0.3">
      <c r="K186" s="213"/>
      <c r="L186" s="189" t="s">
        <v>458</v>
      </c>
      <c r="M186" s="200">
        <v>124</v>
      </c>
      <c r="N186" s="175"/>
      <c r="O186" s="175"/>
      <c r="P186" s="17">
        <v>8.4000000000000005E-2</v>
      </c>
      <c r="Q186" s="212"/>
      <c r="R186" s="194">
        <v>205</v>
      </c>
      <c r="S186" s="194">
        <v>6.9000000000000006E-2</v>
      </c>
      <c r="T186" s="160"/>
      <c r="U186" s="160"/>
    </row>
    <row r="187" spans="11:21" ht="15.75" thickBot="1" x14ac:dyDescent="0.3">
      <c r="K187" s="208" t="s">
        <v>74</v>
      </c>
      <c r="L187" s="189" t="s">
        <v>455</v>
      </c>
      <c r="M187" s="200">
        <v>179</v>
      </c>
      <c r="N187" s="214">
        <f>AVERAGE(M187:M190)</f>
        <v>187</v>
      </c>
      <c r="O187" s="214"/>
      <c r="P187" s="17">
        <v>0.1</v>
      </c>
      <c r="Q187" s="215">
        <f>AVERAGE(P187:P190)</f>
        <v>9.1750000000000012E-2</v>
      </c>
      <c r="R187" s="194">
        <v>298</v>
      </c>
      <c r="S187" s="194">
        <v>8.3000000000000004E-2</v>
      </c>
      <c r="T187" s="160"/>
      <c r="U187" s="160"/>
    </row>
    <row r="188" spans="11:21" ht="15.75" thickBot="1" x14ac:dyDescent="0.3">
      <c r="K188" s="211"/>
      <c r="L188" s="189" t="s">
        <v>456</v>
      </c>
      <c r="M188" s="200">
        <v>221</v>
      </c>
      <c r="N188" s="175"/>
      <c r="O188" s="175"/>
      <c r="P188" s="17">
        <v>0.108</v>
      </c>
      <c r="Q188" s="212"/>
      <c r="R188" s="194">
        <v>288</v>
      </c>
      <c r="S188" s="194">
        <v>9.8000000000000004E-2</v>
      </c>
      <c r="T188" s="160"/>
      <c r="U188" s="160"/>
    </row>
    <row r="189" spans="11:21" ht="15.75" thickBot="1" x14ac:dyDescent="0.3">
      <c r="K189" s="211"/>
      <c r="L189" s="189" t="s">
        <v>457</v>
      </c>
      <c r="M189" s="200">
        <v>187</v>
      </c>
      <c r="N189" s="175"/>
      <c r="O189" s="175"/>
      <c r="P189" s="17">
        <v>0.08</v>
      </c>
      <c r="Q189" s="212"/>
      <c r="R189" s="194">
        <v>286</v>
      </c>
      <c r="S189" s="194">
        <v>0.09</v>
      </c>
      <c r="T189" s="160"/>
      <c r="U189" s="160"/>
    </row>
    <row r="190" spans="11:21" ht="15.75" thickBot="1" x14ac:dyDescent="0.3">
      <c r="K190" s="213"/>
      <c r="L190" s="189" t="s">
        <v>458</v>
      </c>
      <c r="M190" s="200">
        <v>161</v>
      </c>
      <c r="N190" s="175"/>
      <c r="O190" s="175"/>
      <c r="P190" s="17">
        <v>7.9000000000000001E-2</v>
      </c>
      <c r="Q190" s="212"/>
      <c r="R190" s="194">
        <v>268</v>
      </c>
      <c r="S190" s="194">
        <v>6.5000000000000002E-2</v>
      </c>
      <c r="T190" s="160"/>
      <c r="U190" s="160"/>
    </row>
    <row r="191" spans="11:21" ht="15.75" thickBot="1" x14ac:dyDescent="0.3">
      <c r="K191" s="208" t="s">
        <v>417</v>
      </c>
      <c r="L191" s="189" t="s">
        <v>455</v>
      </c>
      <c r="M191" s="200">
        <v>133</v>
      </c>
      <c r="N191" s="214">
        <f>AVERAGE(M191:M194)</f>
        <v>139.25</v>
      </c>
      <c r="O191" s="214"/>
      <c r="P191" s="17">
        <v>9.9000000000000005E-2</v>
      </c>
      <c r="Q191" s="215">
        <f>AVERAGE(P191:P194)</f>
        <v>9.1000000000000011E-2</v>
      </c>
      <c r="R191" s="194">
        <v>222</v>
      </c>
      <c r="S191" s="194">
        <v>8.2000000000000003E-2</v>
      </c>
      <c r="T191" s="160"/>
      <c r="U191" s="160"/>
    </row>
    <row r="192" spans="11:21" ht="15.75" thickBot="1" x14ac:dyDescent="0.3">
      <c r="K192" s="211"/>
      <c r="L192" s="189" t="s">
        <v>456</v>
      </c>
      <c r="M192" s="200">
        <v>165</v>
      </c>
      <c r="N192" s="175"/>
      <c r="O192" s="175"/>
      <c r="P192" s="17">
        <v>0.107</v>
      </c>
      <c r="Q192" s="212"/>
      <c r="R192" s="194">
        <v>215</v>
      </c>
      <c r="S192" s="194">
        <v>9.7000000000000003E-2</v>
      </c>
      <c r="T192" s="160"/>
      <c r="U192" s="160"/>
    </row>
    <row r="193" spans="11:21" ht="15.75" thickBot="1" x14ac:dyDescent="0.3">
      <c r="K193" s="211"/>
      <c r="L193" s="189" t="s">
        <v>457</v>
      </c>
      <c r="M193" s="200">
        <v>139</v>
      </c>
      <c r="N193" s="175"/>
      <c r="O193" s="175"/>
      <c r="P193" s="17">
        <v>7.9000000000000001E-2</v>
      </c>
      <c r="Q193" s="212"/>
      <c r="R193" s="194">
        <v>214</v>
      </c>
      <c r="S193" s="194">
        <v>8.8999999999999996E-2</v>
      </c>
      <c r="T193" s="160"/>
      <c r="U193" s="160"/>
    </row>
    <row r="194" spans="11:21" ht="15.75" thickBot="1" x14ac:dyDescent="0.3">
      <c r="K194" s="213"/>
      <c r="L194" s="189" t="s">
        <v>458</v>
      </c>
      <c r="M194" s="200">
        <v>120</v>
      </c>
      <c r="N194" s="175"/>
      <c r="O194" s="175"/>
      <c r="P194" s="17">
        <v>7.9000000000000001E-2</v>
      </c>
      <c r="Q194" s="212"/>
      <c r="R194" s="194">
        <v>199</v>
      </c>
      <c r="S194" s="194">
        <v>6.4000000000000001E-2</v>
      </c>
      <c r="T194" s="160"/>
      <c r="U194" s="160"/>
    </row>
    <row r="195" spans="11:21" ht="15.75" thickBot="1" x14ac:dyDescent="0.3">
      <c r="K195" s="208" t="s">
        <v>418</v>
      </c>
      <c r="L195" s="189" t="s">
        <v>455</v>
      </c>
      <c r="M195" s="200">
        <v>189</v>
      </c>
      <c r="N195" s="214">
        <f>AVERAGE(M195:M198)</f>
        <v>197.25</v>
      </c>
      <c r="O195" s="214"/>
      <c r="P195" s="17">
        <v>9.0999999999999998E-2</v>
      </c>
      <c r="Q195" s="215">
        <f>AVERAGE(P195:P198)</f>
        <v>8.3250000000000005E-2</v>
      </c>
      <c r="R195" s="194">
        <v>314</v>
      </c>
      <c r="S195" s="194">
        <v>7.4999999999999997E-2</v>
      </c>
      <c r="T195" s="160"/>
      <c r="U195" s="160"/>
    </row>
    <row r="196" spans="11:21" ht="15.75" thickBot="1" x14ac:dyDescent="0.3">
      <c r="K196" s="211"/>
      <c r="L196" s="189" t="s">
        <v>456</v>
      </c>
      <c r="M196" s="200">
        <v>233</v>
      </c>
      <c r="N196" s="175"/>
      <c r="O196" s="175"/>
      <c r="P196" s="17">
        <v>9.8000000000000004E-2</v>
      </c>
      <c r="Q196" s="212"/>
      <c r="R196" s="194">
        <v>304</v>
      </c>
      <c r="S196" s="194">
        <v>8.8999999999999996E-2</v>
      </c>
      <c r="T196" s="160"/>
      <c r="U196" s="160"/>
    </row>
    <row r="197" spans="11:21" ht="15.75" thickBot="1" x14ac:dyDescent="0.3">
      <c r="K197" s="211"/>
      <c r="L197" s="189" t="s">
        <v>457</v>
      </c>
      <c r="M197" s="200">
        <v>197</v>
      </c>
      <c r="N197" s="175"/>
      <c r="O197" s="175"/>
      <c r="P197" s="17">
        <v>7.1999999999999995E-2</v>
      </c>
      <c r="Q197" s="212"/>
      <c r="R197" s="194">
        <v>302</v>
      </c>
      <c r="S197" s="194">
        <v>8.2000000000000003E-2</v>
      </c>
      <c r="T197" s="160"/>
      <c r="U197" s="160"/>
    </row>
    <row r="198" spans="11:21" ht="15.75" thickBot="1" x14ac:dyDescent="0.3">
      <c r="K198" s="213"/>
      <c r="L198" s="189" t="s">
        <v>458</v>
      </c>
      <c r="M198" s="200">
        <v>170</v>
      </c>
      <c r="N198" s="175"/>
      <c r="O198" s="175"/>
      <c r="P198" s="17">
        <v>7.1999999999999995E-2</v>
      </c>
      <c r="Q198" s="212"/>
      <c r="R198" s="194">
        <v>282</v>
      </c>
      <c r="S198" s="194">
        <v>5.8999999999999997E-2</v>
      </c>
      <c r="T198" s="160"/>
      <c r="U198" s="160"/>
    </row>
    <row r="199" spans="11:21" ht="15.75" thickBot="1" x14ac:dyDescent="0.3">
      <c r="K199" s="208" t="s">
        <v>419</v>
      </c>
      <c r="L199" s="189" t="s">
        <v>455</v>
      </c>
      <c r="M199" s="200">
        <v>180</v>
      </c>
      <c r="N199" s="214">
        <f>AVERAGE(M199:M202)</f>
        <v>188</v>
      </c>
      <c r="O199" s="214"/>
      <c r="P199" s="17">
        <v>0.1</v>
      </c>
      <c r="Q199" s="215">
        <f>AVERAGE(P199:P202)</f>
        <v>9.1750000000000012E-2</v>
      </c>
      <c r="R199" s="194">
        <v>300</v>
      </c>
      <c r="S199" s="194">
        <v>8.3000000000000004E-2</v>
      </c>
      <c r="T199" s="160"/>
      <c r="U199" s="160"/>
    </row>
    <row r="200" spans="11:21" ht="15.75" thickBot="1" x14ac:dyDescent="0.3">
      <c r="K200" s="211"/>
      <c r="L200" s="189" t="s">
        <v>456</v>
      </c>
      <c r="M200" s="200">
        <v>222</v>
      </c>
      <c r="N200" s="175"/>
      <c r="O200" s="175"/>
      <c r="P200" s="17">
        <v>0.108</v>
      </c>
      <c r="Q200" s="212"/>
      <c r="R200" s="194">
        <v>290</v>
      </c>
      <c r="S200" s="194">
        <v>9.8000000000000004E-2</v>
      </c>
      <c r="T200" s="160"/>
      <c r="U200" s="160"/>
    </row>
    <row r="201" spans="11:21" ht="15.75" thickBot="1" x14ac:dyDescent="0.3">
      <c r="K201" s="211"/>
      <c r="L201" s="189" t="s">
        <v>457</v>
      </c>
      <c r="M201" s="200">
        <v>188</v>
      </c>
      <c r="N201" s="175"/>
      <c r="O201" s="175"/>
      <c r="P201" s="17">
        <v>0.08</v>
      </c>
      <c r="Q201" s="212"/>
      <c r="R201" s="194">
        <v>288</v>
      </c>
      <c r="S201" s="194">
        <v>0.09</v>
      </c>
      <c r="T201" s="160"/>
      <c r="U201" s="160"/>
    </row>
    <row r="202" spans="11:21" ht="15.75" thickBot="1" x14ac:dyDescent="0.3">
      <c r="K202" s="213"/>
      <c r="L202" s="189" t="s">
        <v>458</v>
      </c>
      <c r="M202" s="200">
        <v>162</v>
      </c>
      <c r="N202" s="175"/>
      <c r="O202" s="175"/>
      <c r="P202" s="17">
        <v>7.9000000000000001E-2</v>
      </c>
      <c r="Q202" s="212"/>
      <c r="R202" s="194">
        <v>269</v>
      </c>
      <c r="S202" s="194">
        <v>6.5000000000000002E-2</v>
      </c>
      <c r="T202" s="160"/>
      <c r="U202" s="160"/>
    </row>
    <row r="203" spans="11:21" ht="15.75" thickBot="1" x14ac:dyDescent="0.3">
      <c r="K203" s="208" t="s">
        <v>420</v>
      </c>
      <c r="L203" s="189" t="s">
        <v>455</v>
      </c>
      <c r="M203" s="200">
        <v>287</v>
      </c>
      <c r="N203" s="214">
        <f>AVERAGE(M203:M206)</f>
        <v>299.75</v>
      </c>
      <c r="O203" s="214"/>
      <c r="P203" s="17">
        <v>0.10299999999999999</v>
      </c>
      <c r="Q203" s="215">
        <f>AVERAGE(P203:P206)</f>
        <v>9.5000000000000001E-2</v>
      </c>
      <c r="R203" s="194">
        <v>479</v>
      </c>
      <c r="S203" s="194">
        <v>8.5999999999999993E-2</v>
      </c>
      <c r="T203" s="160"/>
      <c r="U203" s="160"/>
    </row>
    <row r="204" spans="11:21" ht="15.75" thickBot="1" x14ac:dyDescent="0.3">
      <c r="K204" s="211"/>
      <c r="L204" s="189" t="s">
        <v>456</v>
      </c>
      <c r="M204" s="200">
        <v>354</v>
      </c>
      <c r="N204" s="175"/>
      <c r="O204" s="175"/>
      <c r="P204" s="17">
        <v>0.112</v>
      </c>
      <c r="Q204" s="212"/>
      <c r="R204" s="194">
        <v>463</v>
      </c>
      <c r="S204" s="194">
        <v>0.10100000000000001</v>
      </c>
      <c r="T204" s="160"/>
      <c r="U204" s="160"/>
    </row>
    <row r="205" spans="11:21" ht="15.75" thickBot="1" x14ac:dyDescent="0.3">
      <c r="K205" s="211"/>
      <c r="L205" s="189" t="s">
        <v>457</v>
      </c>
      <c r="M205" s="200">
        <v>300</v>
      </c>
      <c r="N205" s="175"/>
      <c r="O205" s="175"/>
      <c r="P205" s="17">
        <v>8.3000000000000004E-2</v>
      </c>
      <c r="Q205" s="212"/>
      <c r="R205" s="194">
        <v>460</v>
      </c>
      <c r="S205" s="194">
        <v>9.2999999999999999E-2</v>
      </c>
      <c r="T205" s="160"/>
      <c r="U205" s="160"/>
    </row>
    <row r="206" spans="11:21" ht="15.75" thickBot="1" x14ac:dyDescent="0.3">
      <c r="K206" s="213"/>
      <c r="L206" s="189" t="s">
        <v>458</v>
      </c>
      <c r="M206" s="200">
        <v>258</v>
      </c>
      <c r="N206" s="175"/>
      <c r="O206" s="175"/>
      <c r="P206" s="17">
        <v>8.2000000000000003E-2</v>
      </c>
      <c r="Q206" s="212"/>
      <c r="R206" s="194">
        <v>429</v>
      </c>
      <c r="S206" s="194">
        <v>6.7000000000000004E-2</v>
      </c>
      <c r="T206" s="160"/>
      <c r="U206" s="160"/>
    </row>
    <row r="207" spans="11:21" ht="15.75" thickBot="1" x14ac:dyDescent="0.3">
      <c r="K207" s="208" t="s">
        <v>421</v>
      </c>
      <c r="L207" s="189" t="s">
        <v>455</v>
      </c>
      <c r="M207" s="200">
        <v>210</v>
      </c>
      <c r="N207" s="214">
        <f>AVERAGE(M207:M210)</f>
        <v>219.25</v>
      </c>
      <c r="O207" s="214"/>
      <c r="P207" s="17">
        <v>8.3000000000000004E-2</v>
      </c>
      <c r="Q207" s="215">
        <f>AVERAGE(P207:P210)</f>
        <v>7.6499999999999999E-2</v>
      </c>
      <c r="R207" s="194">
        <v>349</v>
      </c>
      <c r="S207" s="194">
        <v>7.0000000000000007E-2</v>
      </c>
      <c r="T207" s="160"/>
      <c r="U207" s="160"/>
    </row>
    <row r="208" spans="11:21" ht="15.75" thickBot="1" x14ac:dyDescent="0.3">
      <c r="K208" s="211"/>
      <c r="L208" s="189" t="s">
        <v>456</v>
      </c>
      <c r="M208" s="200">
        <v>259</v>
      </c>
      <c r="N208" s="175"/>
      <c r="O208" s="175"/>
      <c r="P208" s="17">
        <v>0.09</v>
      </c>
      <c r="Q208" s="212"/>
      <c r="R208" s="194">
        <v>338</v>
      </c>
      <c r="S208" s="194">
        <v>8.2000000000000003E-2</v>
      </c>
      <c r="T208" s="160"/>
      <c r="U208" s="160"/>
    </row>
    <row r="209" spans="11:21" ht="15.75" thickBot="1" x14ac:dyDescent="0.3">
      <c r="K209" s="211"/>
      <c r="L209" s="189" t="s">
        <v>457</v>
      </c>
      <c r="M209" s="200">
        <v>219</v>
      </c>
      <c r="N209" s="175"/>
      <c r="O209" s="175"/>
      <c r="P209" s="17">
        <v>6.7000000000000004E-2</v>
      </c>
      <c r="Q209" s="212"/>
      <c r="R209" s="194">
        <v>335</v>
      </c>
      <c r="S209" s="194">
        <v>7.4999999999999997E-2</v>
      </c>
      <c r="T209" s="160"/>
      <c r="U209" s="160"/>
    </row>
    <row r="210" spans="11:21" ht="15.75" thickBot="1" x14ac:dyDescent="0.3">
      <c r="K210" s="213"/>
      <c r="L210" s="189" t="s">
        <v>458</v>
      </c>
      <c r="M210" s="200">
        <v>189</v>
      </c>
      <c r="N210" s="175"/>
      <c r="O210" s="175"/>
      <c r="P210" s="17">
        <v>6.6000000000000003E-2</v>
      </c>
      <c r="Q210" s="212"/>
      <c r="R210" s="194">
        <v>313</v>
      </c>
      <c r="S210" s="194">
        <v>5.3999999999999999E-2</v>
      </c>
      <c r="T210" s="160"/>
      <c r="U210" s="160"/>
    </row>
    <row r="211" spans="11:21" ht="15.75" thickBot="1" x14ac:dyDescent="0.3">
      <c r="K211" s="208" t="s">
        <v>422</v>
      </c>
      <c r="L211" s="189" t="s">
        <v>455</v>
      </c>
      <c r="M211" s="200">
        <v>185</v>
      </c>
      <c r="N211" s="214">
        <f>AVERAGE(M211:M214)</f>
        <v>193.75</v>
      </c>
      <c r="O211" s="214"/>
      <c r="P211" s="17">
        <v>9.9000000000000005E-2</v>
      </c>
      <c r="Q211" s="215">
        <f>AVERAGE(P211:P214)</f>
        <v>9.1000000000000011E-2</v>
      </c>
      <c r="R211" s="194">
        <v>309</v>
      </c>
      <c r="S211" s="194">
        <v>8.2000000000000003E-2</v>
      </c>
      <c r="T211" s="160"/>
      <c r="U211" s="160"/>
    </row>
    <row r="212" spans="11:21" ht="15.75" thickBot="1" x14ac:dyDescent="0.3">
      <c r="K212" s="211"/>
      <c r="L212" s="189" t="s">
        <v>456</v>
      </c>
      <c r="M212" s="200">
        <v>229</v>
      </c>
      <c r="N212" s="175"/>
      <c r="O212" s="175"/>
      <c r="P212" s="17">
        <v>0.107</v>
      </c>
      <c r="Q212" s="212"/>
      <c r="R212" s="194">
        <v>299</v>
      </c>
      <c r="S212" s="194">
        <v>9.7000000000000003E-2</v>
      </c>
      <c r="T212" s="160"/>
      <c r="U212" s="160"/>
    </row>
    <row r="213" spans="11:21" ht="15.75" thickBot="1" x14ac:dyDescent="0.3">
      <c r="K213" s="211"/>
      <c r="L213" s="189" t="s">
        <v>457</v>
      </c>
      <c r="M213" s="200">
        <v>194</v>
      </c>
      <c r="N213" s="175"/>
      <c r="O213" s="175"/>
      <c r="P213" s="17">
        <v>7.9000000000000001E-2</v>
      </c>
      <c r="Q213" s="212"/>
      <c r="R213" s="194">
        <v>297</v>
      </c>
      <c r="S213" s="194">
        <v>8.8999999999999996E-2</v>
      </c>
      <c r="T213" s="160"/>
      <c r="U213" s="160"/>
    </row>
    <row r="214" spans="11:21" ht="15.75" thickBot="1" x14ac:dyDescent="0.3">
      <c r="K214" s="213"/>
      <c r="L214" s="189" t="s">
        <v>458</v>
      </c>
      <c r="M214" s="200">
        <v>167</v>
      </c>
      <c r="N214" s="175"/>
      <c r="O214" s="175"/>
      <c r="P214" s="17">
        <v>7.9000000000000001E-2</v>
      </c>
      <c r="Q214" s="212"/>
      <c r="R214" s="194">
        <v>277</v>
      </c>
      <c r="S214" s="194">
        <v>6.4000000000000001E-2</v>
      </c>
      <c r="T214" s="160"/>
      <c r="U214" s="160"/>
    </row>
    <row r="215" spans="11:21" ht="15.75" thickBot="1" x14ac:dyDescent="0.3">
      <c r="K215" s="208" t="s">
        <v>423</v>
      </c>
      <c r="L215" s="189" t="s">
        <v>455</v>
      </c>
      <c r="M215" s="200">
        <v>136</v>
      </c>
      <c r="N215" s="214">
        <f>AVERAGE(M215:M218)</f>
        <v>142</v>
      </c>
      <c r="O215" s="214"/>
      <c r="P215" s="17">
        <v>9.9000000000000005E-2</v>
      </c>
      <c r="Q215" s="215">
        <f>AVERAGE(P215:P218)</f>
        <v>9.1000000000000011E-2</v>
      </c>
      <c r="R215" s="194">
        <v>227</v>
      </c>
      <c r="S215" s="194">
        <v>8.2000000000000003E-2</v>
      </c>
      <c r="T215" s="160"/>
      <c r="U215" s="160"/>
    </row>
    <row r="216" spans="11:21" ht="15.75" thickBot="1" x14ac:dyDescent="0.3">
      <c r="K216" s="211"/>
      <c r="L216" s="189" t="s">
        <v>456</v>
      </c>
      <c r="M216" s="200">
        <v>168</v>
      </c>
      <c r="N216" s="175"/>
      <c r="O216" s="175"/>
      <c r="P216" s="17">
        <v>0.107</v>
      </c>
      <c r="Q216" s="212"/>
      <c r="R216" s="194">
        <v>219</v>
      </c>
      <c r="S216" s="194">
        <v>9.7000000000000003E-2</v>
      </c>
      <c r="T216" s="160"/>
      <c r="U216" s="160"/>
    </row>
    <row r="217" spans="11:21" ht="15.75" thickBot="1" x14ac:dyDescent="0.3">
      <c r="K217" s="211"/>
      <c r="L217" s="189" t="s">
        <v>457</v>
      </c>
      <c r="M217" s="200">
        <v>142</v>
      </c>
      <c r="N217" s="175"/>
      <c r="O217" s="175"/>
      <c r="P217" s="17">
        <v>7.9000000000000001E-2</v>
      </c>
      <c r="Q217" s="212"/>
      <c r="R217" s="194">
        <v>217</v>
      </c>
      <c r="S217" s="194">
        <v>8.8999999999999996E-2</v>
      </c>
      <c r="T217" s="160"/>
      <c r="U217" s="160"/>
    </row>
    <row r="218" spans="11:21" ht="15.75" thickBot="1" x14ac:dyDescent="0.3">
      <c r="K218" s="213"/>
      <c r="L218" s="216" t="s">
        <v>458</v>
      </c>
      <c r="M218" s="217">
        <v>122</v>
      </c>
      <c r="N218" s="204"/>
      <c r="O218" s="204"/>
      <c r="P218" s="218">
        <v>7.9000000000000001E-2</v>
      </c>
      <c r="Q218" s="219"/>
      <c r="R218" s="220">
        <v>203</v>
      </c>
      <c r="S218" s="220">
        <v>6.4000000000000001E-2</v>
      </c>
      <c r="T218" s="160"/>
      <c r="U218" s="160"/>
    </row>
    <row r="219" spans="11:21" ht="15.75" thickBot="1" x14ac:dyDescent="0.3">
      <c r="K219" s="159" t="s">
        <v>459</v>
      </c>
      <c r="R219" s="160"/>
      <c r="S219" s="160"/>
      <c r="T219" s="160"/>
      <c r="U219" s="160"/>
    </row>
    <row r="220" spans="11:21" ht="15.75" thickBot="1" x14ac:dyDescent="0.3">
      <c r="K220" s="301" t="s">
        <v>54</v>
      </c>
      <c r="L220" s="303" t="s">
        <v>460</v>
      </c>
      <c r="M220" s="305" t="s">
        <v>450</v>
      </c>
      <c r="N220" s="306"/>
      <c r="O220" s="306"/>
      <c r="P220" s="306"/>
      <c r="Q220" s="307"/>
      <c r="R220" s="308" t="s">
        <v>451</v>
      </c>
      <c r="S220" s="309"/>
      <c r="T220" s="160"/>
      <c r="U220" s="160"/>
    </row>
    <row r="221" spans="11:21" ht="30.75" thickBot="1" x14ac:dyDescent="0.3">
      <c r="K221" s="302"/>
      <c r="L221" s="304"/>
      <c r="M221" s="310" t="s">
        <v>452</v>
      </c>
      <c r="N221" s="311"/>
      <c r="O221" s="228"/>
      <c r="P221" s="310" t="s">
        <v>453</v>
      </c>
      <c r="Q221" s="311"/>
      <c r="R221" s="186" t="s">
        <v>452</v>
      </c>
      <c r="S221" s="186" t="s">
        <v>453</v>
      </c>
      <c r="T221" s="160"/>
      <c r="U221" s="160"/>
    </row>
    <row r="222" spans="11:21" ht="15.75" thickBot="1" x14ac:dyDescent="0.3">
      <c r="K222" s="208" t="s">
        <v>415</v>
      </c>
      <c r="L222" s="189" t="s">
        <v>461</v>
      </c>
      <c r="M222" s="190">
        <v>240</v>
      </c>
      <c r="N222" s="209">
        <f>AVERAGE(M222:M224)</f>
        <v>221.66666666666666</v>
      </c>
      <c r="O222" s="209"/>
      <c r="P222" s="191">
        <v>6.6000000000000003E-2</v>
      </c>
      <c r="Q222" s="210">
        <f>AVERAGE(P222:P224)</f>
        <v>5.7666666666666665E-2</v>
      </c>
      <c r="R222" s="194">
        <v>171</v>
      </c>
      <c r="S222" s="194">
        <v>3.2000000000000001E-2</v>
      </c>
      <c r="T222" s="160"/>
      <c r="U222" s="160"/>
    </row>
    <row r="223" spans="11:21" ht="15.75" thickBot="1" x14ac:dyDescent="0.3">
      <c r="K223" s="211"/>
      <c r="L223" s="189" t="s">
        <v>462</v>
      </c>
      <c r="M223" s="200">
        <v>214</v>
      </c>
      <c r="N223" s="198"/>
      <c r="O223" s="198"/>
      <c r="P223" s="17">
        <v>5.6000000000000001E-2</v>
      </c>
      <c r="Q223" s="215"/>
      <c r="R223" s="194">
        <v>127</v>
      </c>
      <c r="S223" s="194">
        <v>5.3999999999999999E-2</v>
      </c>
      <c r="T223" s="160"/>
      <c r="U223" s="160"/>
    </row>
    <row r="224" spans="11:21" ht="15.75" thickBot="1" x14ac:dyDescent="0.3">
      <c r="K224" s="213"/>
      <c r="L224" s="189" t="s">
        <v>463</v>
      </c>
      <c r="M224" s="200">
        <v>211</v>
      </c>
      <c r="N224" s="198"/>
      <c r="O224" s="198"/>
      <c r="P224" s="17">
        <v>5.0999999999999997E-2</v>
      </c>
      <c r="Q224" s="215"/>
      <c r="R224" s="194">
        <v>138</v>
      </c>
      <c r="S224" s="194">
        <v>0.05</v>
      </c>
      <c r="T224" s="160"/>
      <c r="U224" s="160"/>
    </row>
    <row r="225" spans="11:21" ht="15.75" thickBot="1" x14ac:dyDescent="0.3">
      <c r="K225" s="208" t="s">
        <v>416</v>
      </c>
      <c r="L225" s="189" t="s">
        <v>461</v>
      </c>
      <c r="M225" s="200">
        <v>154</v>
      </c>
      <c r="N225" s="214">
        <f>AVERAGE(M225:M227)</f>
        <v>142.33333333333334</v>
      </c>
      <c r="O225" s="214"/>
      <c r="P225" s="17">
        <v>7.6999999999999999E-2</v>
      </c>
      <c r="Q225" s="215">
        <f>AVERAGE(P225:P227)</f>
        <v>6.7000000000000004E-2</v>
      </c>
      <c r="R225" s="194">
        <v>110</v>
      </c>
      <c r="S225" s="194">
        <v>3.5999999999999997E-2</v>
      </c>
      <c r="T225" s="160"/>
      <c r="U225" s="160"/>
    </row>
    <row r="226" spans="11:21" ht="15.75" thickBot="1" x14ac:dyDescent="0.3">
      <c r="K226" s="211"/>
      <c r="L226" s="189" t="s">
        <v>462</v>
      </c>
      <c r="M226" s="200">
        <v>137</v>
      </c>
      <c r="N226" s="198"/>
      <c r="O226" s="198"/>
      <c r="P226" s="17">
        <v>6.5000000000000002E-2</v>
      </c>
      <c r="Q226" s="215"/>
      <c r="R226" s="194">
        <v>82</v>
      </c>
      <c r="S226" s="194">
        <v>6.2E-2</v>
      </c>
      <c r="T226" s="160"/>
      <c r="U226" s="160"/>
    </row>
    <row r="227" spans="11:21" ht="15.75" thickBot="1" x14ac:dyDescent="0.3">
      <c r="K227" s="213"/>
      <c r="L227" s="189" t="s">
        <v>463</v>
      </c>
      <c r="M227" s="200">
        <v>136</v>
      </c>
      <c r="N227" s="198"/>
      <c r="O227" s="198"/>
      <c r="P227" s="17">
        <v>5.8999999999999997E-2</v>
      </c>
      <c r="Q227" s="215"/>
      <c r="R227" s="194">
        <v>89</v>
      </c>
      <c r="S227" s="194">
        <v>5.7000000000000002E-2</v>
      </c>
      <c r="T227" s="160"/>
      <c r="U227" s="160"/>
    </row>
    <row r="228" spans="11:21" ht="15.75" thickBot="1" x14ac:dyDescent="0.3">
      <c r="K228" s="208" t="s">
        <v>74</v>
      </c>
      <c r="L228" s="189" t="s">
        <v>461</v>
      </c>
      <c r="M228" s="200">
        <v>201</v>
      </c>
      <c r="N228" s="214">
        <f>AVERAGE(M228:M230)</f>
        <v>185.66666666666666</v>
      </c>
      <c r="O228" s="214"/>
      <c r="P228" s="17">
        <v>7.1999999999999995E-2</v>
      </c>
      <c r="Q228" s="215">
        <f>AVERAGE(P228:P230)</f>
        <v>6.3E-2</v>
      </c>
      <c r="R228" s="194">
        <v>143</v>
      </c>
      <c r="S228" s="194">
        <v>3.4000000000000002E-2</v>
      </c>
      <c r="T228" s="160"/>
      <c r="U228" s="160"/>
    </row>
    <row r="229" spans="11:21" ht="15.75" thickBot="1" x14ac:dyDescent="0.3">
      <c r="K229" s="211"/>
      <c r="L229" s="189" t="s">
        <v>462</v>
      </c>
      <c r="M229" s="200">
        <v>179</v>
      </c>
      <c r="N229" s="198"/>
      <c r="O229" s="198"/>
      <c r="P229" s="17">
        <v>6.0999999999999999E-2</v>
      </c>
      <c r="Q229" s="215"/>
      <c r="R229" s="194">
        <v>106</v>
      </c>
      <c r="S229" s="194">
        <v>5.8999999999999997E-2</v>
      </c>
      <c r="T229" s="160"/>
      <c r="U229" s="160"/>
    </row>
    <row r="230" spans="11:21" ht="15.75" thickBot="1" x14ac:dyDescent="0.3">
      <c r="K230" s="213"/>
      <c r="L230" s="189" t="s">
        <v>463</v>
      </c>
      <c r="M230" s="200">
        <v>177</v>
      </c>
      <c r="N230" s="198"/>
      <c r="O230" s="198"/>
      <c r="P230" s="17">
        <v>5.6000000000000001E-2</v>
      </c>
      <c r="Q230" s="215"/>
      <c r="R230" s="194">
        <v>115</v>
      </c>
      <c r="S230" s="194">
        <v>5.3999999999999999E-2</v>
      </c>
      <c r="T230" s="160"/>
      <c r="U230" s="160"/>
    </row>
    <row r="231" spans="11:21" ht="15.75" thickBot="1" x14ac:dyDescent="0.3">
      <c r="K231" s="208" t="s">
        <v>417</v>
      </c>
      <c r="L231" s="189" t="s">
        <v>461</v>
      </c>
      <c r="M231" s="200">
        <v>150</v>
      </c>
      <c r="N231" s="214">
        <f>AVERAGE(M231:M233)</f>
        <v>138.33333333333334</v>
      </c>
      <c r="O231" s="214"/>
      <c r="P231" s="17">
        <v>7.0999999999999994E-2</v>
      </c>
      <c r="Q231" s="215">
        <f>AVERAGE(P231:P233)</f>
        <v>6.2E-2</v>
      </c>
      <c r="R231" s="194">
        <v>107</v>
      </c>
      <c r="S231" s="194">
        <v>3.4000000000000002E-2</v>
      </c>
      <c r="T231" s="160"/>
      <c r="U231" s="160"/>
    </row>
    <row r="232" spans="11:21" ht="15.75" thickBot="1" x14ac:dyDescent="0.3">
      <c r="K232" s="211"/>
      <c r="L232" s="189" t="s">
        <v>462</v>
      </c>
      <c r="M232" s="200">
        <v>133</v>
      </c>
      <c r="N232" s="198"/>
      <c r="O232" s="198"/>
      <c r="P232" s="17">
        <v>0.06</v>
      </c>
      <c r="Q232" s="215"/>
      <c r="R232" s="194">
        <v>79</v>
      </c>
      <c r="S232" s="194">
        <v>5.8000000000000003E-2</v>
      </c>
      <c r="T232" s="160"/>
      <c r="U232" s="160"/>
    </row>
    <row r="233" spans="11:21" ht="15.75" thickBot="1" x14ac:dyDescent="0.3">
      <c r="K233" s="213"/>
      <c r="L233" s="189" t="s">
        <v>463</v>
      </c>
      <c r="M233" s="200">
        <v>132</v>
      </c>
      <c r="N233" s="198"/>
      <c r="O233" s="198"/>
      <c r="P233" s="17">
        <v>5.5E-2</v>
      </c>
      <c r="Q233" s="215"/>
      <c r="R233" s="194">
        <v>86</v>
      </c>
      <c r="S233" s="194">
        <v>5.2999999999999999E-2</v>
      </c>
      <c r="T233" s="160"/>
      <c r="U233" s="160"/>
    </row>
    <row r="234" spans="11:21" ht="15.75" thickBot="1" x14ac:dyDescent="0.3">
      <c r="K234" s="208" t="s">
        <v>418</v>
      </c>
      <c r="L234" s="189" t="s">
        <v>461</v>
      </c>
      <c r="M234" s="200">
        <v>212</v>
      </c>
      <c r="N234" s="214">
        <f>AVERAGE(M234:M236)</f>
        <v>195.66666666666666</v>
      </c>
      <c r="O234" s="214"/>
      <c r="P234" s="17">
        <v>6.5000000000000002E-2</v>
      </c>
      <c r="Q234" s="215">
        <f>AVERAGE(P234:P236)</f>
        <v>5.6999999999999995E-2</v>
      </c>
      <c r="R234" s="194">
        <v>151</v>
      </c>
      <c r="S234" s="194">
        <v>3.1E-2</v>
      </c>
      <c r="T234" s="160"/>
      <c r="U234" s="160"/>
    </row>
    <row r="235" spans="11:21" ht="15.75" thickBot="1" x14ac:dyDescent="0.3">
      <c r="K235" s="211"/>
      <c r="L235" s="189" t="s">
        <v>462</v>
      </c>
      <c r="M235" s="200">
        <v>189</v>
      </c>
      <c r="N235" s="198"/>
      <c r="O235" s="198"/>
      <c r="P235" s="17">
        <v>5.5E-2</v>
      </c>
      <c r="Q235" s="215"/>
      <c r="R235" s="194">
        <v>112</v>
      </c>
      <c r="S235" s="194">
        <v>5.2999999999999999E-2</v>
      </c>
      <c r="T235" s="160"/>
      <c r="U235" s="160"/>
    </row>
    <row r="236" spans="11:21" ht="15.75" thickBot="1" x14ac:dyDescent="0.3">
      <c r="K236" s="213"/>
      <c r="L236" s="189" t="s">
        <v>463</v>
      </c>
      <c r="M236" s="200">
        <v>186</v>
      </c>
      <c r="N236" s="198"/>
      <c r="O236" s="198"/>
      <c r="P236" s="17">
        <v>5.0999999999999997E-2</v>
      </c>
      <c r="Q236" s="215"/>
      <c r="R236" s="194">
        <v>122</v>
      </c>
      <c r="S236" s="194">
        <v>4.9000000000000002E-2</v>
      </c>
      <c r="T236" s="160"/>
      <c r="U236" s="160"/>
    </row>
    <row r="237" spans="11:21" ht="15.75" thickBot="1" x14ac:dyDescent="0.3">
      <c r="K237" s="208" t="s">
        <v>419</v>
      </c>
      <c r="L237" s="189" t="s">
        <v>461</v>
      </c>
      <c r="M237" s="200">
        <v>202</v>
      </c>
      <c r="N237" s="214">
        <f>AVERAGE(M237:M239)</f>
        <v>186.66666666666666</v>
      </c>
      <c r="O237" s="214"/>
      <c r="P237" s="17">
        <v>7.1999999999999995E-2</v>
      </c>
      <c r="Q237" s="215">
        <f>AVERAGE(P237:P239)</f>
        <v>6.3E-2</v>
      </c>
      <c r="R237" s="194">
        <v>144</v>
      </c>
      <c r="S237" s="194">
        <v>3.4000000000000002E-2</v>
      </c>
      <c r="T237" s="160"/>
      <c r="U237" s="160"/>
    </row>
    <row r="238" spans="11:21" ht="15.75" thickBot="1" x14ac:dyDescent="0.3">
      <c r="K238" s="211"/>
      <c r="L238" s="189" t="s">
        <v>462</v>
      </c>
      <c r="M238" s="200">
        <v>180</v>
      </c>
      <c r="N238" s="198"/>
      <c r="O238" s="198"/>
      <c r="P238" s="17">
        <v>6.0999999999999999E-2</v>
      </c>
      <c r="Q238" s="215"/>
      <c r="R238" s="194">
        <v>107</v>
      </c>
      <c r="S238" s="194">
        <v>5.8999999999999997E-2</v>
      </c>
      <c r="T238" s="160"/>
      <c r="U238" s="160"/>
    </row>
    <row r="239" spans="11:21" ht="15.75" thickBot="1" x14ac:dyDescent="0.3">
      <c r="K239" s="213"/>
      <c r="L239" s="189" t="s">
        <v>463</v>
      </c>
      <c r="M239" s="200">
        <v>178</v>
      </c>
      <c r="N239" s="198"/>
      <c r="O239" s="198"/>
      <c r="P239" s="17">
        <v>5.6000000000000001E-2</v>
      </c>
      <c r="Q239" s="215"/>
      <c r="R239" s="194">
        <v>116</v>
      </c>
      <c r="S239" s="194">
        <v>5.3999999999999999E-2</v>
      </c>
      <c r="T239" s="160"/>
      <c r="U239" s="160"/>
    </row>
    <row r="240" spans="11:21" ht="15.75" thickBot="1" x14ac:dyDescent="0.3">
      <c r="K240" s="208" t="s">
        <v>420</v>
      </c>
      <c r="L240" s="189" t="s">
        <v>461</v>
      </c>
      <c r="M240" s="200">
        <v>322</v>
      </c>
      <c r="N240" s="214">
        <f>AVERAGE(M240:M242)</f>
        <v>297.66666666666669</v>
      </c>
      <c r="O240" s="214"/>
      <c r="P240" s="17">
        <v>7.4999999999999997E-2</v>
      </c>
      <c r="Q240" s="215">
        <f>AVERAGE(P240:P242)</f>
        <v>6.533333333333334E-2</v>
      </c>
      <c r="R240" s="194">
        <v>230</v>
      </c>
      <c r="S240" s="194">
        <v>3.5999999999999997E-2</v>
      </c>
      <c r="T240" s="160"/>
      <c r="U240" s="160"/>
    </row>
    <row r="241" spans="11:21" ht="15.75" thickBot="1" x14ac:dyDescent="0.3">
      <c r="K241" s="211"/>
      <c r="L241" s="189" t="s">
        <v>462</v>
      </c>
      <c r="M241" s="200">
        <v>287</v>
      </c>
      <c r="N241" s="198"/>
      <c r="O241" s="198"/>
      <c r="P241" s="17">
        <v>6.3E-2</v>
      </c>
      <c r="Q241" s="215"/>
      <c r="R241" s="194">
        <v>171</v>
      </c>
      <c r="S241" s="194">
        <v>6.0999999999999999E-2</v>
      </c>
      <c r="T241" s="160"/>
      <c r="U241" s="160"/>
    </row>
    <row r="242" spans="11:21" ht="15.75" thickBot="1" x14ac:dyDescent="0.3">
      <c r="K242" s="213"/>
      <c r="L242" s="189" t="s">
        <v>463</v>
      </c>
      <c r="M242" s="200">
        <v>284</v>
      </c>
      <c r="N242" s="198"/>
      <c r="O242" s="198"/>
      <c r="P242" s="17">
        <v>5.8000000000000003E-2</v>
      </c>
      <c r="Q242" s="215"/>
      <c r="R242" s="194">
        <v>185</v>
      </c>
      <c r="S242" s="194">
        <v>5.6000000000000001E-2</v>
      </c>
      <c r="T242" s="160"/>
      <c r="U242" s="160"/>
    </row>
    <row r="243" spans="11:21" ht="15.75" thickBot="1" x14ac:dyDescent="0.3">
      <c r="K243" s="208" t="s">
        <v>421</v>
      </c>
      <c r="L243" s="189" t="s">
        <v>461</v>
      </c>
      <c r="M243" s="200">
        <v>235</v>
      </c>
      <c r="N243" s="214">
        <f>AVERAGE(M243:M245)</f>
        <v>217.33333333333334</v>
      </c>
      <c r="O243" s="214"/>
      <c r="P243" s="17">
        <v>0.06</v>
      </c>
      <c r="Q243" s="215">
        <f>AVERAGE(P243:P245)</f>
        <v>5.266666666666666E-2</v>
      </c>
      <c r="R243" s="194">
        <v>168</v>
      </c>
      <c r="S243" s="194">
        <v>2.9000000000000001E-2</v>
      </c>
      <c r="T243" s="160"/>
      <c r="U243" s="160"/>
    </row>
    <row r="244" spans="11:21" ht="15.75" thickBot="1" x14ac:dyDescent="0.3">
      <c r="K244" s="211"/>
      <c r="L244" s="189" t="s">
        <v>462</v>
      </c>
      <c r="M244" s="200">
        <v>210</v>
      </c>
      <c r="N244" s="198"/>
      <c r="O244" s="198"/>
      <c r="P244" s="17">
        <v>5.0999999999999997E-2</v>
      </c>
      <c r="Q244" s="215"/>
      <c r="R244" s="194">
        <v>125</v>
      </c>
      <c r="S244" s="194">
        <v>4.9000000000000002E-2</v>
      </c>
      <c r="T244" s="160"/>
      <c r="U244" s="160"/>
    </row>
    <row r="245" spans="11:21" ht="15.75" thickBot="1" x14ac:dyDescent="0.3">
      <c r="K245" s="213"/>
      <c r="L245" s="189" t="s">
        <v>463</v>
      </c>
      <c r="M245" s="200">
        <v>207</v>
      </c>
      <c r="N245" s="198"/>
      <c r="O245" s="198"/>
      <c r="P245" s="17">
        <v>4.7E-2</v>
      </c>
      <c r="Q245" s="215"/>
      <c r="R245" s="194">
        <v>135</v>
      </c>
      <c r="S245" s="194">
        <v>4.4999999999999998E-2</v>
      </c>
      <c r="T245" s="160"/>
      <c r="U245" s="160"/>
    </row>
    <row r="246" spans="11:21" ht="15.75" thickBot="1" x14ac:dyDescent="0.3">
      <c r="K246" s="208" t="s">
        <v>422</v>
      </c>
      <c r="L246" s="189" t="s">
        <v>461</v>
      </c>
      <c r="M246" s="200">
        <v>208</v>
      </c>
      <c r="N246" s="214">
        <f>AVERAGE(M246:M248)</f>
        <v>192</v>
      </c>
      <c r="O246" s="214"/>
      <c r="P246" s="17">
        <v>7.0999999999999994E-2</v>
      </c>
      <c r="Q246" s="215">
        <f>AVERAGE(P246:P248)</f>
        <v>6.2E-2</v>
      </c>
      <c r="R246" s="194">
        <v>148</v>
      </c>
      <c r="S246" s="194">
        <v>3.4000000000000002E-2</v>
      </c>
      <c r="T246" s="160"/>
      <c r="U246" s="160"/>
    </row>
    <row r="247" spans="11:21" ht="15.75" thickBot="1" x14ac:dyDescent="0.3">
      <c r="K247" s="211"/>
      <c r="L247" s="189" t="s">
        <v>462</v>
      </c>
      <c r="M247" s="200">
        <v>185</v>
      </c>
      <c r="N247" s="198"/>
      <c r="O247" s="198"/>
      <c r="P247" s="17">
        <v>0.06</v>
      </c>
      <c r="Q247" s="215"/>
      <c r="R247" s="194">
        <v>110</v>
      </c>
      <c r="S247" s="194">
        <v>5.8000000000000003E-2</v>
      </c>
      <c r="T247" s="160"/>
      <c r="U247" s="160"/>
    </row>
    <row r="248" spans="11:21" ht="15.75" thickBot="1" x14ac:dyDescent="0.3">
      <c r="K248" s="213"/>
      <c r="L248" s="189" t="s">
        <v>463</v>
      </c>
      <c r="M248" s="200">
        <v>183</v>
      </c>
      <c r="N248" s="198"/>
      <c r="O248" s="198"/>
      <c r="P248" s="17">
        <v>5.5E-2</v>
      </c>
      <c r="Q248" s="215"/>
      <c r="R248" s="194">
        <v>119</v>
      </c>
      <c r="S248" s="194">
        <v>5.2999999999999999E-2</v>
      </c>
      <c r="T248" s="160"/>
      <c r="U248" s="160"/>
    </row>
    <row r="249" spans="11:21" ht="15.75" thickBot="1" x14ac:dyDescent="0.3">
      <c r="K249" s="208" t="s">
        <v>423</v>
      </c>
      <c r="L249" s="189" t="s">
        <v>461</v>
      </c>
      <c r="M249" s="200">
        <v>153</v>
      </c>
      <c r="N249" s="214">
        <f>AVERAGE(M249:M251)</f>
        <v>141</v>
      </c>
      <c r="O249" s="214"/>
      <c r="P249" s="17">
        <v>7.0999999999999994E-2</v>
      </c>
      <c r="Q249" s="215">
        <f>AVERAGE(P249:P251)</f>
        <v>6.2E-2</v>
      </c>
      <c r="R249" s="194">
        <v>109</v>
      </c>
      <c r="S249" s="194">
        <v>3.4000000000000002E-2</v>
      </c>
      <c r="T249" s="160"/>
      <c r="U249" s="160"/>
    </row>
    <row r="250" spans="11:21" ht="15.75" thickBot="1" x14ac:dyDescent="0.3">
      <c r="K250" s="211"/>
      <c r="L250" s="189" t="s">
        <v>462</v>
      </c>
      <c r="M250" s="200">
        <v>136</v>
      </c>
      <c r="N250" s="175"/>
      <c r="O250" s="175"/>
      <c r="P250" s="17">
        <v>0.06</v>
      </c>
      <c r="Q250" s="221"/>
      <c r="R250" s="194">
        <v>81</v>
      </c>
      <c r="S250" s="194">
        <v>5.8000000000000003E-2</v>
      </c>
      <c r="T250" s="160"/>
      <c r="U250" s="160"/>
    </row>
    <row r="251" spans="11:21" ht="15.75" thickBot="1" x14ac:dyDescent="0.3">
      <c r="K251" s="213"/>
      <c r="L251" s="189" t="s">
        <v>463</v>
      </c>
      <c r="M251" s="222">
        <v>134</v>
      </c>
      <c r="N251" s="204"/>
      <c r="O251" s="204"/>
      <c r="P251" s="223">
        <v>5.5E-2</v>
      </c>
      <c r="Q251" s="205"/>
      <c r="R251" s="194">
        <v>88</v>
      </c>
      <c r="S251" s="194">
        <v>5.2999999999999999E-2</v>
      </c>
      <c r="T251" s="160"/>
      <c r="U251" s="160"/>
    </row>
  </sheetData>
  <mergeCells count="18">
    <mergeCell ref="D2:G2"/>
    <mergeCell ref="K154:K155"/>
    <mergeCell ref="L154:L155"/>
    <mergeCell ref="M154:S154"/>
    <mergeCell ref="M155:P155"/>
    <mergeCell ref="Q155:S155"/>
    <mergeCell ref="K177:K178"/>
    <mergeCell ref="L177:L178"/>
    <mergeCell ref="M177:Q177"/>
    <mergeCell ref="R177:S177"/>
    <mergeCell ref="M178:N178"/>
    <mergeCell ref="P178:Q178"/>
    <mergeCell ref="K220:K221"/>
    <mergeCell ref="L220:L221"/>
    <mergeCell ref="M220:Q220"/>
    <mergeCell ref="R220:S220"/>
    <mergeCell ref="M221:N221"/>
    <mergeCell ref="P221:Q221"/>
  </mergeCells>
  <phoneticPr fontId="9" type="noConversion"/>
  <pageMargins left="0.7" right="0.7" top="0.75" bottom="0.75" header="0.3" footer="0.3"/>
  <pageSetup orientation="portrait" horizontalDpi="0" verticalDpi="0" r:id="rId1"/>
  <legacyDrawing r:id="rId2"/>
  <tableParts count="4">
    <tablePart r:id="rId3"/>
    <tablePart r:id="rId4"/>
    <tablePart r:id="rId5"/>
    <tablePart r:id="rId6"/>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E09ED-3D5E-402C-B5CF-36BC9D5EB55E}">
  <sheetPr>
    <tabColor rgb="FFFF0000"/>
  </sheetPr>
  <dimension ref="A2:I52"/>
  <sheetViews>
    <sheetView workbookViewId="0">
      <selection activeCell="B17" sqref="B17"/>
    </sheetView>
  </sheetViews>
  <sheetFormatPr defaultRowHeight="12.75" x14ac:dyDescent="0.2"/>
  <cols>
    <col min="2" max="2" width="19.28515625" bestFit="1" customWidth="1"/>
    <col min="3" max="3" width="27" bestFit="1" customWidth="1"/>
    <col min="4" max="4" width="25.85546875" bestFit="1" customWidth="1"/>
    <col min="5" max="5" width="33.42578125" bestFit="1" customWidth="1"/>
    <col min="6" max="6" width="28.42578125" bestFit="1" customWidth="1"/>
    <col min="8" max="8" width="13.85546875" bestFit="1" customWidth="1"/>
    <col min="9" max="9" width="12.42578125" bestFit="1" customWidth="1"/>
  </cols>
  <sheetData>
    <row r="2" spans="1:9" ht="15" x14ac:dyDescent="0.25">
      <c r="B2" s="229" t="s">
        <v>464</v>
      </c>
      <c r="C2" s="229" t="s">
        <v>465</v>
      </c>
      <c r="D2" s="229" t="s">
        <v>466</v>
      </c>
      <c r="E2" s="229" t="s">
        <v>467</v>
      </c>
      <c r="F2" s="229" t="s">
        <v>468</v>
      </c>
      <c r="H2" s="229" t="s">
        <v>469</v>
      </c>
      <c r="I2" s="229" t="s">
        <v>470</v>
      </c>
    </row>
    <row r="3" spans="1:9" ht="15" x14ac:dyDescent="0.25">
      <c r="A3">
        <v>1</v>
      </c>
      <c r="B3" s="160" t="b">
        <f>IF(HVAC!$E5="High Eff. AC Unit",IF(HVAC!$G5&lt;References!$T$116,References!$L$116,IF(AND(HVAC!$G5&lt;References!$T$117,HVAC!$G5&gt;References!$S$117),References!$L$117,IF(AND(HVAC!$G5&lt;References!$T$118,HVAC!$G5&gt;References!$S$118),References!$L$118,IF(AND(HVAC!$G5&lt;References!$T$119,HVAC!$G5&gt;References!$S$119),References!$L$119,IF(HVAC!$G5&gt;References!$S$120,References!$L$120,""))))))</f>
        <v>0</v>
      </c>
      <c r="C3" s="160" t="b">
        <f>IF(HVAC!$E5="High Eff. Heat Pump Unit",IF(HVAC!$G5&lt;References!$T$121,References!$L$121,IF(AND(HVAC!$G5&lt;References!$T$122,HVAC!$G5&gt;References!$S$122),References!$L$122,IF(AND(HVAC!$G5&lt;References!$T$123,HVAC!$G5&gt;References!$S$123),References!$L$123,IF(HVAC!$G5&gt;References!$S$124,References!$L$124,"")))))</f>
        <v>0</v>
      </c>
      <c r="D3" s="160" t="b">
        <f>IF(HVAC!$E5="High Eff. AC Unit",IF(HVAC!$G5&lt;References!$T$116,References!$M$116,IF(AND(HVAC!$G5&lt;References!$T$117,HVAC!$G5&gt;References!$S$117),References!$M$117,IF(AND(HVAC!$G5&lt;References!$T$118,HVAC!$G5&gt;References!$S$118),References!$M$118,IF(AND(HVAC!$G5&lt;References!$T$119,HVAC!$G5&gt;References!$S$119),References!$M$119,IF(HVAC!$G5&gt;References!$S$120,References!$M$120,""))))))</f>
        <v>0</v>
      </c>
      <c r="E3" s="160" t="b">
        <f>IF(HVAC!$E5="High Eff. Heat Pump Unit",IF(HVAC!$G5&lt;References!$T$121,References!$M$121,IF(AND(HVAC!$G5&lt;References!$T$122,HVAC!$G5&gt;References!$S$122),References!$M$122,IF(AND(HVAC!$G5&lt;References!$T$123,HVAC!$G5&gt;References!$S$123),References!$M$123,IF(HVAC!$G5&gt;References!$S$124,References!$M$124,"")))))</f>
        <v>0</v>
      </c>
      <c r="F3" s="160" t="b">
        <f>IF(HVAC!$E5="High Eff. Heat Pump Unit",IF(HVAC!$G5&lt;References!$T$121,References!$N$121,IF(AND(HVAC!$G5&lt;References!$T$122,HVAC!$G5&gt;References!$S$122),References!$N$122,IF(AND(HVAC!$G5&lt;References!$T$123,HVAC!$G5&gt;References!$S$123),References!$N$123,IF(HVAC!$G5&gt;References!$S$124,References!$N$124,"")))))</f>
        <v>0</v>
      </c>
      <c r="H3" s="224">
        <f>IF(HVAC!$E5="High Eff. AC Unit",HVAC!$G5*References!$K$4*((1/'HVAC Calcs'!$D3)-(1/HVAC!$I5)),IF(HVAC!$E5="High Eff. Heat Pump Unit",HVAC!$G5*References!$K$5*((1/'HVAC Calcs'!$E3)-(1/HVAC!$I5))+HVAC!$G5*References!$N$5*((1/'HVAC Calcs'!$F3)-(1/HVAC!$J5)),0))</f>
        <v>0</v>
      </c>
      <c r="I3" s="225" t="b">
        <f>IF(HVAC!$E5="High Eff. AC Unit",HVAC!$G5*References!$L$4*((1/'HVAC Calcs'!$B3)-(1/HVAC!$H5)),IF(HVAC!$E5="High Eff. Heat Pump Unit",HVAC!$G5*References!$L$5*((1/'HVAC Calcs'!$C3)-(1/HVAC!$H5))))</f>
        <v>0</v>
      </c>
    </row>
    <row r="4" spans="1:9" ht="15" x14ac:dyDescent="0.25">
      <c r="A4">
        <v>2</v>
      </c>
      <c r="B4" s="160" t="b">
        <f>IF(HVAC!$E6="High Eff. AC Unit",IF(HVAC!$G6&lt;References!$T$116,References!$L$116,IF(AND(HVAC!$G6&lt;References!$T$117,HVAC!$G6&gt;References!$S$117),References!$L$117,IF(AND(HVAC!$G6&lt;References!$T$118,HVAC!$G6&gt;References!$S$118),References!$L$118,IF(AND(HVAC!$G6&lt;References!$T$119,HVAC!$G6&gt;References!$S$119),References!$L$119,IF(HVAC!$G6&gt;References!$S$120,References!$L$120,""))))))</f>
        <v>0</v>
      </c>
      <c r="C4" s="160" t="b">
        <f>IF(HVAC!$E6="High Eff. Heat Pump Unit",IF(HVAC!$G6&lt;References!$T$121,References!$L$121,IF(AND(HVAC!$G6&lt;References!$T$122,HVAC!$G6&gt;References!$S$122),References!$L$122,IF(AND(HVAC!$G6&lt;References!$T$123,HVAC!$G6&gt;References!$S$123),References!$L$123,IF(HVAC!$G6&gt;References!$S$124,References!$L$124,"")))))</f>
        <v>0</v>
      </c>
      <c r="D4" s="160" t="b">
        <f>IF(HVAC!$E6="High Eff. AC Unit",IF(HVAC!$G6&lt;References!$T$116,References!$M$116,IF(AND(HVAC!$G6&lt;References!$T$117,HVAC!$G6&gt;References!$S$117),References!$M$117,IF(AND(HVAC!$G6&lt;References!$T$118,HVAC!$G6&gt;References!$S$118),References!$M$118,IF(AND(HVAC!$G6&lt;References!$T$119,HVAC!$G6&gt;References!$S$119),References!$M$119,IF(HVAC!$G6&gt;References!$S$120,References!$M$120,""))))))</f>
        <v>0</v>
      </c>
      <c r="E4" s="160" t="b">
        <f>IF(HVAC!$E6="High Eff. Heat Pump Unit",IF(HVAC!$G6&lt;References!$T$121,References!$M$121,IF(AND(HVAC!$G6&lt;References!$T$122,HVAC!$G6&gt;References!$S$122),References!$M$122,IF(AND(HVAC!$G6&lt;References!$T$123,HVAC!$G6&gt;References!$S$123),References!$M$123,IF(HVAC!$G6&gt;References!$S$124,References!$M$124,"")))))</f>
        <v>0</v>
      </c>
      <c r="F4" s="160" t="b">
        <f>IF(HVAC!$E6="High Eff. Heat Pump Unit",IF(HVAC!$G6&lt;References!$T$121,References!$N$121,IF(AND(HVAC!$G6&lt;References!$T$122,HVAC!$G6&gt;References!$S$122),References!$N$122,IF(AND(HVAC!$G6&lt;References!$T$123,HVAC!$G6&gt;References!$S$123),References!$N$123,IF(HVAC!$G6&gt;References!$S$124,References!$N$124,"")))))</f>
        <v>0</v>
      </c>
      <c r="H4" s="224">
        <f>IF(HVAC!$E6="High Eff. AC Unit",HVAC!$G6*References!$K$4*((1/'HVAC Calcs'!$D4)-(1/HVAC!$I6)),IF(HVAC!$E6="High Eff. Heat Pump Unit",HVAC!$G6*References!$K$5*((1/'HVAC Calcs'!$E4)-(1/HVAC!$I6))+HVAC!$G6*References!$N$5*((1/'HVAC Calcs'!$F4)-(1/HVAC!$J6)),0))</f>
        <v>0</v>
      </c>
      <c r="I4" s="225" t="b">
        <f>IF(HVAC!$E6="High Eff. AC Unit",HVAC!$G6*References!$L$4*((1/'HVAC Calcs'!$B4)-(1/HVAC!$H6)),IF(HVAC!$E6="High Eff. Heat Pump Unit",HVAC!$G6*References!$L$5*((1/'HVAC Calcs'!$C4)-(1/HVAC!$H6))))</f>
        <v>0</v>
      </c>
    </row>
    <row r="5" spans="1:9" ht="15" x14ac:dyDescent="0.25">
      <c r="A5">
        <v>3</v>
      </c>
      <c r="B5" s="160" t="b">
        <f>IF(HVAC!$E7="High Eff. AC Unit",IF(HVAC!$G7&lt;References!$T$116,References!$L$116,IF(AND(HVAC!$G7&lt;References!$T$117,HVAC!$G7&gt;References!$S$117),References!$L$117,IF(AND(HVAC!$G7&lt;References!$T$118,HVAC!$G7&gt;References!$S$118),References!$L$118,IF(AND(HVAC!$G7&lt;References!$T$119,HVAC!$G7&gt;References!$S$119),References!$L$119,IF(HVAC!$G7&gt;References!$S$120,References!$L$120,""))))))</f>
        <v>0</v>
      </c>
      <c r="C5" s="160" t="b">
        <f>IF(HVAC!$E7="High Eff. Heat Pump Unit",IF(HVAC!$G7&lt;References!$T$121,References!$L$121,IF(AND(HVAC!$G7&lt;References!$T$122,HVAC!$G7&gt;References!$S$122),References!$L$122,IF(AND(HVAC!$G7&lt;References!$T$123,HVAC!$G7&gt;References!$S$123),References!$L$123,IF(HVAC!$G7&gt;References!$S$124,References!$L$124,"")))))</f>
        <v>0</v>
      </c>
      <c r="D5" s="160" t="b">
        <f>IF(HVAC!$E7="High Eff. AC Unit",IF(HVAC!$G7&lt;References!$T$116,References!$M$116,IF(AND(HVAC!$G7&lt;References!$T$117,HVAC!$G7&gt;References!$S$117),References!$M$117,IF(AND(HVAC!$G7&lt;References!$T$118,HVAC!$G7&gt;References!$S$118),References!$M$118,IF(AND(HVAC!$G7&lt;References!$T$119,HVAC!$G7&gt;References!$S$119),References!$M$119,IF(HVAC!$G7&gt;References!$S$120,References!$M$120,""))))))</f>
        <v>0</v>
      </c>
      <c r="E5" s="160" t="b">
        <f>IF(HVAC!$E7="High Eff. Heat Pump Unit",IF(HVAC!$G7&lt;References!$T$121,References!$M$121,IF(AND(HVAC!$G7&lt;References!$T$122,HVAC!$G7&gt;References!$S$122),References!$M$122,IF(AND(HVAC!$G7&lt;References!$T$123,HVAC!$G7&gt;References!$S$123),References!$M$123,IF(HVAC!$G7&gt;References!$S$124,References!$M$124,"")))))</f>
        <v>0</v>
      </c>
      <c r="F5" s="160" t="b">
        <f>IF(HVAC!$E7="High Eff. Heat Pump Unit",IF(HVAC!$G7&lt;References!$T$121,References!$N$121,IF(AND(HVAC!$G7&lt;References!$T$122,HVAC!$G7&gt;References!$S$122),References!$N$122,IF(AND(HVAC!$G7&lt;References!$T$123,HVAC!$G7&gt;References!$S$123),References!$N$123,IF(HVAC!$G7&gt;References!$S$124,References!$N$124,"")))))</f>
        <v>0</v>
      </c>
      <c r="H5" s="224">
        <f>IF(HVAC!$E7="High Eff. AC Unit",HVAC!$G7*References!$K$4*((1/'HVAC Calcs'!$D5)-(1/HVAC!$I7)),IF(HVAC!$E7="High Eff. Heat Pump Unit",HVAC!$G7*References!$K$5*((1/'HVAC Calcs'!$E5)-(1/HVAC!$I7))+HVAC!$G7*References!$N$5*((1/'HVAC Calcs'!$F5)-(1/HVAC!$J7)),0))</f>
        <v>0</v>
      </c>
      <c r="I5" s="225" t="b">
        <f>IF(HVAC!$E7="High Eff. AC Unit",HVAC!$G7*References!$L$4*((1/'HVAC Calcs'!$B5)-(1/HVAC!$H7)),IF(HVAC!$E7="High Eff. Heat Pump Unit",HVAC!$G7*References!$L$5*((1/'HVAC Calcs'!$C5)-(1/HVAC!$H7))))</f>
        <v>0</v>
      </c>
    </row>
    <row r="6" spans="1:9" ht="15" x14ac:dyDescent="0.25">
      <c r="A6">
        <v>4</v>
      </c>
      <c r="B6" s="160" t="b">
        <f>IF(HVAC!$E8="High Eff. AC Unit",IF(HVAC!$G8&lt;References!$T$116,References!$L$116,IF(AND(HVAC!$G8&lt;References!$T$117,HVAC!$G8&gt;References!$S$117),References!$L$117,IF(AND(HVAC!$G8&lt;References!$T$118,HVAC!$G8&gt;References!$S$118),References!$L$118,IF(AND(HVAC!$G8&lt;References!$T$119,HVAC!$G8&gt;References!$S$119),References!$L$119,IF(HVAC!$G8&gt;References!$S$120,References!$L$120,""))))))</f>
        <v>0</v>
      </c>
      <c r="C6" s="160" t="b">
        <f>IF(HVAC!$E8="High Eff. Heat Pump Unit",IF(HVAC!$G8&lt;References!$T$121,References!$L$121,IF(AND(HVAC!$G8&lt;References!$T$122,HVAC!$G8&gt;References!$S$122),References!$L$122,IF(AND(HVAC!$G8&lt;References!$T$123,HVAC!$G8&gt;References!$S$123),References!$L$123,IF(HVAC!$G8&gt;References!$S$124,References!$L$124,"")))))</f>
        <v>0</v>
      </c>
      <c r="D6" s="160" t="b">
        <f>IF(HVAC!$E8="High Eff. AC Unit",IF(HVAC!$G8&lt;References!$T$116,References!$M$116,IF(AND(HVAC!$G8&lt;References!$T$117,HVAC!$G8&gt;References!$S$117),References!$M$117,IF(AND(HVAC!$G8&lt;References!$T$118,HVAC!$G8&gt;References!$S$118),References!$M$118,IF(AND(HVAC!$G8&lt;References!$T$119,HVAC!$G8&gt;References!$S$119),References!$M$119,IF(HVAC!$G8&gt;References!$S$120,References!$M$120,""))))))</f>
        <v>0</v>
      </c>
      <c r="E6" s="160" t="b">
        <f>IF(HVAC!$E8="High Eff. Heat Pump Unit",IF(HVAC!$G8&lt;References!$T$121,References!$M$121,IF(AND(HVAC!$G8&lt;References!$T$122,HVAC!$G8&gt;References!$S$122),References!$M$122,IF(AND(HVAC!$G8&lt;References!$T$123,HVAC!$G8&gt;References!$S$123),References!$M$123,IF(HVAC!$G8&gt;References!$S$124,References!$M$124,"")))))</f>
        <v>0</v>
      </c>
      <c r="F6" s="160" t="b">
        <f>IF(HVAC!$E8="High Eff. Heat Pump Unit",IF(HVAC!$G8&lt;References!$T$121,References!$N$121,IF(AND(HVAC!$G8&lt;References!$T$122,HVAC!$G8&gt;References!$S$122),References!$N$122,IF(AND(HVAC!$G8&lt;References!$T$123,HVAC!$G8&gt;References!$S$123),References!$N$123,IF(HVAC!$G8&gt;References!$S$124,References!$N$124,"")))))</f>
        <v>0</v>
      </c>
      <c r="H6" s="224">
        <f>IF(HVAC!$E8="High Eff. AC Unit",HVAC!$G8*References!$K$4*((1/'HVAC Calcs'!$D6)-(1/HVAC!$I8)),IF(HVAC!$E8="High Eff. Heat Pump Unit",HVAC!$G8*References!$K$5*((1/'HVAC Calcs'!$E6)-(1/HVAC!$I8))+HVAC!$G8*References!$N$5*((1/'HVAC Calcs'!$F6)-(1/HVAC!$J8)),0))</f>
        <v>0</v>
      </c>
      <c r="I6" s="225" t="b">
        <f>IF(HVAC!$E8="High Eff. AC Unit",HVAC!$G8*References!$L$4*((1/'HVAC Calcs'!$B6)-(1/HVAC!$H8)),IF(HVAC!$E8="High Eff. Heat Pump Unit",HVAC!$G8*References!$L$5*((1/'HVAC Calcs'!$C6)-(1/HVAC!$H8))))</f>
        <v>0</v>
      </c>
    </row>
    <row r="7" spans="1:9" ht="15" x14ac:dyDescent="0.25">
      <c r="A7">
        <v>5</v>
      </c>
      <c r="B7" s="160" t="b">
        <f>IF(HVAC!$E9="High Eff. AC Unit",IF(HVAC!$G9&lt;References!$T$116,References!$L$116,IF(AND(HVAC!$G9&lt;References!$T$117,HVAC!$G9&gt;References!$S$117),References!$L$117,IF(AND(HVAC!$G9&lt;References!$T$118,HVAC!$G9&gt;References!$S$118),References!$L$118,IF(AND(HVAC!$G9&lt;References!$T$119,HVAC!$G9&gt;References!$S$119),References!$L$119,IF(HVAC!$G9&gt;References!$S$120,References!$L$120,""))))))</f>
        <v>0</v>
      </c>
      <c r="C7" s="160" t="b">
        <f>IF(HVAC!$E9="High Eff. Heat Pump Unit",IF(HVAC!$G9&lt;References!$T$121,References!$L$121,IF(AND(HVAC!$G9&lt;References!$T$122,HVAC!$G9&gt;References!$S$122),References!$L$122,IF(AND(HVAC!$G9&lt;References!$T$123,HVAC!$G9&gt;References!$S$123),References!$L$123,IF(HVAC!$G9&gt;References!$S$124,References!$L$124,"")))))</f>
        <v>0</v>
      </c>
      <c r="D7" s="160" t="b">
        <f>IF(HVAC!$E9="High Eff. AC Unit",IF(HVAC!$G9&lt;References!$T$116,References!$M$116,IF(AND(HVAC!$G9&lt;References!$T$117,HVAC!$G9&gt;References!$S$117),References!$M$117,IF(AND(HVAC!$G9&lt;References!$T$118,HVAC!$G9&gt;References!$S$118),References!$M$118,IF(AND(HVAC!$G9&lt;References!$T$119,HVAC!$G9&gt;References!$S$119),References!$M$119,IF(HVAC!$G9&gt;References!$S$120,References!$M$120,""))))))</f>
        <v>0</v>
      </c>
      <c r="E7" s="160" t="b">
        <f>IF(HVAC!$E9="High Eff. Heat Pump Unit",IF(HVAC!$G9&lt;References!$T$121,References!$M$121,IF(AND(HVAC!$G9&lt;References!$T$122,HVAC!$G9&gt;References!$S$122),References!$M$122,IF(AND(HVAC!$G9&lt;References!$T$123,HVAC!$G9&gt;References!$S$123),References!$M$123,IF(HVAC!$G9&gt;References!$S$124,References!$M$124,"")))))</f>
        <v>0</v>
      </c>
      <c r="F7" s="160" t="b">
        <f>IF(HVAC!$E9="High Eff. Heat Pump Unit",IF(HVAC!$G9&lt;References!$T$121,References!$N$121,IF(AND(HVAC!$G9&lt;References!$T$122,HVAC!$G9&gt;References!$S$122),References!$N$122,IF(AND(HVAC!$G9&lt;References!$T$123,HVAC!$G9&gt;References!$S$123),References!$N$123,IF(HVAC!$G9&gt;References!$S$124,References!$N$124,"")))))</f>
        <v>0</v>
      </c>
      <c r="H7" s="224">
        <f>IF(HVAC!$E9="High Eff. AC Unit",HVAC!$G9*References!$K$4*((1/'HVAC Calcs'!$D7)-(1/HVAC!$I9)),IF(HVAC!$E9="High Eff. Heat Pump Unit",HVAC!$G9*References!$K$5*((1/'HVAC Calcs'!$E7)-(1/HVAC!$I9))+HVAC!$G9*References!$N$5*((1/'HVAC Calcs'!$F7)-(1/HVAC!$J9)),0))</f>
        <v>0</v>
      </c>
      <c r="I7" s="225" t="b">
        <f>IF(HVAC!$E9="High Eff. AC Unit",HVAC!$G9*References!$L$4*((1/'HVAC Calcs'!$B7)-(1/HVAC!$H9)),IF(HVAC!$E9="High Eff. Heat Pump Unit",HVAC!$G9*References!$L$5*((1/'HVAC Calcs'!$C7)-(1/HVAC!$H9))))</f>
        <v>0</v>
      </c>
    </row>
    <row r="8" spans="1:9" ht="15" x14ac:dyDescent="0.25">
      <c r="A8">
        <v>6</v>
      </c>
      <c r="B8" s="160" t="b">
        <f>IF(HVAC!$E10="High Eff. AC Unit",IF(HVAC!$G10&lt;References!$T$116,References!$L$116,IF(AND(HVAC!$G10&lt;References!$T$117,HVAC!$G10&gt;References!$S$117),References!$L$117,IF(AND(HVAC!$G10&lt;References!$T$118,HVAC!$G10&gt;References!$S$118),References!$L$118,IF(AND(HVAC!$G10&lt;References!$T$119,HVAC!$G10&gt;References!$S$119),References!$L$119,IF(HVAC!$G10&gt;References!$S$120,References!$L$120,""))))))</f>
        <v>0</v>
      </c>
      <c r="C8" s="160" t="b">
        <f>IF(HVAC!$E10="High Eff. Heat Pump Unit",IF(HVAC!$G10&lt;References!$T$121,References!$L$121,IF(AND(HVAC!$G10&lt;References!$T$122,HVAC!$G10&gt;References!$S$122),References!$L$122,IF(AND(HVAC!$G10&lt;References!$T$123,HVAC!$G10&gt;References!$S$123),References!$L$123,IF(HVAC!$G10&gt;References!$S$124,References!$L$124,"")))))</f>
        <v>0</v>
      </c>
      <c r="D8" s="160" t="b">
        <f>IF(HVAC!$E10="High Eff. AC Unit",IF(HVAC!$G10&lt;References!$T$116,References!$M$116,IF(AND(HVAC!$G10&lt;References!$T$117,HVAC!$G10&gt;References!$S$117),References!$M$117,IF(AND(HVAC!$G10&lt;References!$T$118,HVAC!$G10&gt;References!$S$118),References!$M$118,IF(AND(HVAC!$G10&lt;References!$T$119,HVAC!$G10&gt;References!$S$119),References!$M$119,IF(HVAC!$G10&gt;References!$S$120,References!$M$120,""))))))</f>
        <v>0</v>
      </c>
      <c r="E8" s="160" t="b">
        <f>IF(HVAC!$E10="High Eff. Heat Pump Unit",IF(HVAC!$G10&lt;References!$T$121,References!$M$121,IF(AND(HVAC!$G10&lt;References!$T$122,HVAC!$G10&gt;References!$S$122),References!$M$122,IF(AND(HVAC!$G10&lt;References!$T$123,HVAC!$G10&gt;References!$S$123),References!$M$123,IF(HVAC!$G10&gt;References!$S$124,References!$M$124,"")))))</f>
        <v>0</v>
      </c>
      <c r="F8" s="160" t="b">
        <f>IF(HVAC!$E10="High Eff. Heat Pump Unit",IF(HVAC!$G10&lt;References!$T$121,References!$N$121,IF(AND(HVAC!$G10&lt;References!$T$122,HVAC!$G10&gt;References!$S$122),References!$N$122,IF(AND(HVAC!$G10&lt;References!$T$123,HVAC!$G10&gt;References!$S$123),References!$N$123,IF(HVAC!$G10&gt;References!$S$124,References!$N$124,"")))))</f>
        <v>0</v>
      </c>
      <c r="H8" s="224">
        <f>IF(HVAC!$E10="High Eff. AC Unit",HVAC!$G10*References!$K$4*((1/'HVAC Calcs'!$D8)-(1/HVAC!$I10)),IF(HVAC!$E10="High Eff. Heat Pump Unit",HVAC!$G10*References!$K$5*((1/'HVAC Calcs'!$E8)-(1/HVAC!$I10))+HVAC!$G10*References!$N$5*((1/'HVAC Calcs'!$F8)-(1/HVAC!$J10)),0))</f>
        <v>0</v>
      </c>
      <c r="I8" s="225" t="b">
        <f>IF(HVAC!$E10="High Eff. AC Unit",HVAC!$G10*References!$L$4*((1/'HVAC Calcs'!$B8)-(1/HVAC!$H10)),IF(HVAC!$E10="High Eff. Heat Pump Unit",HVAC!$G10*References!$L$5*((1/'HVAC Calcs'!$C8)-(1/HVAC!$H10))))</f>
        <v>0</v>
      </c>
    </row>
    <row r="9" spans="1:9" ht="15" x14ac:dyDescent="0.25">
      <c r="A9">
        <v>7</v>
      </c>
      <c r="B9" s="160" t="b">
        <f>IF(HVAC!$E11="High Eff. AC Unit",IF(HVAC!$G11&lt;References!$T$116,References!$L$116,IF(AND(HVAC!$G11&lt;References!$T$117,HVAC!$G11&gt;References!$S$117),References!$L$117,IF(AND(HVAC!$G11&lt;References!$T$118,HVAC!$G11&gt;References!$S$118),References!$L$118,IF(AND(HVAC!$G11&lt;References!$T$119,HVAC!$G11&gt;References!$S$119),References!$L$119,IF(HVAC!$G11&gt;References!$S$120,References!$L$120,""))))))</f>
        <v>0</v>
      </c>
      <c r="C9" s="160" t="b">
        <f>IF(HVAC!$E11="High Eff. Heat Pump Unit",IF(HVAC!$G11&lt;References!$T$121,References!$L$121,IF(AND(HVAC!$G11&lt;References!$T$122,HVAC!$G11&gt;References!$S$122),References!$L$122,IF(AND(HVAC!$G11&lt;References!$T$123,HVAC!$G11&gt;References!$S$123),References!$L$123,IF(HVAC!$G11&gt;References!$S$124,References!$L$124,"")))))</f>
        <v>0</v>
      </c>
      <c r="D9" s="160" t="b">
        <f>IF(HVAC!$E11="High Eff. AC Unit",IF(HVAC!$G11&lt;References!$T$116,References!$M$116,IF(AND(HVAC!$G11&lt;References!$T$117,HVAC!$G11&gt;References!$S$117),References!$M$117,IF(AND(HVAC!$G11&lt;References!$T$118,HVAC!$G11&gt;References!$S$118),References!$M$118,IF(AND(HVAC!$G11&lt;References!$T$119,HVAC!$G11&gt;References!$S$119),References!$M$119,IF(HVAC!$G11&gt;References!$S$120,References!$M$120,""))))))</f>
        <v>0</v>
      </c>
      <c r="E9" s="160" t="b">
        <f>IF(HVAC!$E11="High Eff. Heat Pump Unit",IF(HVAC!$G11&lt;References!$T$121,References!$M$121,IF(AND(HVAC!$G11&lt;References!$T$122,HVAC!$G11&gt;References!$S$122),References!$M$122,IF(AND(HVAC!$G11&lt;References!$T$123,HVAC!$G11&gt;References!$S$123),References!$M$123,IF(HVAC!$G11&gt;References!$S$124,References!$M$124,"")))))</f>
        <v>0</v>
      </c>
      <c r="F9" s="160" t="b">
        <f>IF(HVAC!$E11="High Eff. Heat Pump Unit",IF(HVAC!$G11&lt;References!$T$121,References!$N$121,IF(AND(HVAC!$G11&lt;References!$T$122,HVAC!$G11&gt;References!$S$122),References!$N$122,IF(AND(HVAC!$G11&lt;References!$T$123,HVAC!$G11&gt;References!$S$123),References!$N$123,IF(HVAC!$G11&gt;References!$S$124,References!$N$124,"")))))</f>
        <v>0</v>
      </c>
      <c r="H9" s="224">
        <f>IF(HVAC!$E11="High Eff. AC Unit",HVAC!$G11*References!$K$4*((1/'HVAC Calcs'!$D9)-(1/HVAC!$I11)),IF(HVAC!$E11="High Eff. Heat Pump Unit",HVAC!$G11*References!$K$5*((1/'HVAC Calcs'!$E9)-(1/HVAC!$I11))+HVAC!$G11*References!$N$5*((1/'HVAC Calcs'!$F9)-(1/HVAC!$J11)),0))</f>
        <v>0</v>
      </c>
      <c r="I9" s="225" t="b">
        <f>IF(HVAC!$E11="High Eff. AC Unit",HVAC!$G11*References!$L$4*((1/'HVAC Calcs'!$B9)-(1/HVAC!$H11)),IF(HVAC!$E11="High Eff. Heat Pump Unit",HVAC!$G11*References!$L$5*((1/'HVAC Calcs'!$C9)-(1/HVAC!$H11))))</f>
        <v>0</v>
      </c>
    </row>
    <row r="10" spans="1:9" ht="15" x14ac:dyDescent="0.25">
      <c r="A10">
        <v>8</v>
      </c>
      <c r="B10" s="160" t="b">
        <f>IF(HVAC!$E12="High Eff. AC Unit",IF(HVAC!$G12&lt;References!$T$116,References!$L$116,IF(AND(HVAC!$G12&lt;References!$T$117,HVAC!$G12&gt;References!$S$117),References!$L$117,IF(AND(HVAC!$G12&lt;References!$T$118,HVAC!$G12&gt;References!$S$118),References!$L$118,IF(AND(HVAC!$G12&lt;References!$T$119,HVAC!$G12&gt;References!$S$119),References!$L$119,IF(HVAC!$G12&gt;References!$S$120,References!$L$120,""))))))</f>
        <v>0</v>
      </c>
      <c r="C10" s="160" t="b">
        <f>IF(HVAC!$E12="High Eff. Heat Pump Unit",IF(HVAC!$G12&lt;References!$T$121,References!$L$121,IF(AND(HVAC!$G12&lt;References!$T$122,HVAC!$G12&gt;References!$S$122),References!$L$122,IF(AND(HVAC!$G12&lt;References!$T$123,HVAC!$G12&gt;References!$S$123),References!$L$123,IF(HVAC!$G12&gt;References!$S$124,References!$L$124,"")))))</f>
        <v>0</v>
      </c>
      <c r="D10" s="160" t="b">
        <f>IF(HVAC!$E12="High Eff. AC Unit",IF(HVAC!$G12&lt;References!$T$116,References!$M$116,IF(AND(HVAC!$G12&lt;References!$T$117,HVAC!$G12&gt;References!$S$117),References!$M$117,IF(AND(HVAC!$G12&lt;References!$T$118,HVAC!$G12&gt;References!$S$118),References!$M$118,IF(AND(HVAC!$G12&lt;References!$T$119,HVAC!$G12&gt;References!$S$119),References!$M$119,IF(HVAC!$G12&gt;References!$S$120,References!$M$120,""))))))</f>
        <v>0</v>
      </c>
      <c r="E10" s="160" t="b">
        <f>IF(HVAC!$E12="High Eff. Heat Pump Unit",IF(HVAC!$G12&lt;References!$T$121,References!$M$121,IF(AND(HVAC!$G12&lt;References!$T$122,HVAC!$G12&gt;References!$S$122),References!$M$122,IF(AND(HVAC!$G12&lt;References!$T$123,HVAC!$G12&gt;References!$S$123),References!$M$123,IF(HVAC!$G12&gt;References!$S$124,References!$M$124,"")))))</f>
        <v>0</v>
      </c>
      <c r="F10" s="160" t="b">
        <f>IF(HVAC!$E12="High Eff. Heat Pump Unit",IF(HVAC!$G12&lt;References!$T$121,References!$N$121,IF(AND(HVAC!$G12&lt;References!$T$122,HVAC!$G12&gt;References!$S$122),References!$N$122,IF(AND(HVAC!$G12&lt;References!$T$123,HVAC!$G12&gt;References!$S$123),References!$N$123,IF(HVAC!$G12&gt;References!$S$124,References!$N$124,"")))))</f>
        <v>0</v>
      </c>
      <c r="H10" s="224">
        <f>IF(HVAC!$E12="High Eff. AC Unit",HVAC!$G12*References!$K$4*((1/'HVAC Calcs'!$D10)-(1/HVAC!$I12)),IF(HVAC!$E12="High Eff. Heat Pump Unit",HVAC!$G12*References!$K$5*((1/'HVAC Calcs'!$E10)-(1/HVAC!$I12))+HVAC!$G12*References!$N$5*((1/'HVAC Calcs'!$F10)-(1/HVAC!$J12)),0))</f>
        <v>0</v>
      </c>
      <c r="I10" s="225" t="b">
        <f>IF(HVAC!$E12="High Eff. AC Unit",HVAC!$G12*References!$L$4*((1/'HVAC Calcs'!$B10)-(1/HVAC!$H12)),IF(HVAC!$E12="High Eff. Heat Pump Unit",HVAC!$G12*References!$L$5*((1/'HVAC Calcs'!$C10)-(1/HVAC!$H12))))</f>
        <v>0</v>
      </c>
    </row>
    <row r="11" spans="1:9" ht="15" x14ac:dyDescent="0.25">
      <c r="A11">
        <v>9</v>
      </c>
      <c r="B11" s="160" t="b">
        <f>IF(HVAC!$E13="High Eff. AC Unit",IF(HVAC!$G13&lt;References!$T$116,References!$L$116,IF(AND(HVAC!$G13&lt;References!$T$117,HVAC!$G13&gt;References!$S$117),References!$L$117,IF(AND(HVAC!$G13&lt;References!$T$118,HVAC!$G13&gt;References!$S$118),References!$L$118,IF(AND(HVAC!$G13&lt;References!$T$119,HVAC!$G13&gt;References!$S$119),References!$L$119,IF(HVAC!$G13&gt;References!$S$120,References!$L$120,""))))))</f>
        <v>0</v>
      </c>
      <c r="C11" s="160" t="b">
        <f>IF(HVAC!$E13="High Eff. Heat Pump Unit",IF(HVAC!$G13&lt;References!$T$121,References!$L$121,IF(AND(HVAC!$G13&lt;References!$T$122,HVAC!$G13&gt;References!$S$122),References!$L$122,IF(AND(HVAC!$G13&lt;References!$T$123,HVAC!$G13&gt;References!$S$123),References!$L$123,IF(HVAC!$G13&gt;References!$S$124,References!$L$124,"")))))</f>
        <v>0</v>
      </c>
      <c r="D11" s="160" t="b">
        <f>IF(HVAC!$E13="High Eff. AC Unit",IF(HVAC!$G13&lt;References!$T$116,References!$M$116,IF(AND(HVAC!$G13&lt;References!$T$117,HVAC!$G13&gt;References!$S$117),References!$M$117,IF(AND(HVAC!$G13&lt;References!$T$118,HVAC!$G13&gt;References!$S$118),References!$M$118,IF(AND(HVAC!$G13&lt;References!$T$119,HVAC!$G13&gt;References!$S$119),References!$M$119,IF(HVAC!$G13&gt;References!$S$120,References!$M$120,""))))))</f>
        <v>0</v>
      </c>
      <c r="E11" s="160" t="b">
        <f>IF(HVAC!$E13="High Eff. Heat Pump Unit",IF(HVAC!$G13&lt;References!$T$121,References!$M$121,IF(AND(HVAC!$G13&lt;References!$T$122,HVAC!$G13&gt;References!$S$122),References!$M$122,IF(AND(HVAC!$G13&lt;References!$T$123,HVAC!$G13&gt;References!$S$123),References!$M$123,IF(HVAC!$G13&gt;References!$S$124,References!$M$124,"")))))</f>
        <v>0</v>
      </c>
      <c r="F11" s="160" t="b">
        <f>IF(HVAC!$E13="High Eff. Heat Pump Unit",IF(HVAC!$G13&lt;References!$T$121,References!$N$121,IF(AND(HVAC!$G13&lt;References!$T$122,HVAC!$G13&gt;References!$S$122),References!$N$122,IF(AND(HVAC!$G13&lt;References!$T$123,HVAC!$G13&gt;References!$S$123),References!$N$123,IF(HVAC!$G13&gt;References!$S$124,References!$N$124,"")))))</f>
        <v>0</v>
      </c>
      <c r="H11" s="224">
        <f>IF(HVAC!$E13="High Eff. AC Unit",HVAC!$G13*References!$K$4*((1/'HVAC Calcs'!$D11)-(1/HVAC!$I13)),IF(HVAC!$E13="High Eff. Heat Pump Unit",HVAC!$G13*References!$K$5*((1/'HVAC Calcs'!$E11)-(1/HVAC!$I13))+HVAC!$G13*References!$N$5*((1/'HVAC Calcs'!$F11)-(1/HVAC!$J13)),0))</f>
        <v>0</v>
      </c>
      <c r="I11" s="225" t="b">
        <f>IF(HVAC!$E13="High Eff. AC Unit",HVAC!$G13*References!$L$4*((1/'HVAC Calcs'!$B11)-(1/HVAC!$H13)),IF(HVAC!$E13="High Eff. Heat Pump Unit",HVAC!$G13*References!$L$5*((1/'HVAC Calcs'!$C11)-(1/HVAC!$H13))))</f>
        <v>0</v>
      </c>
    </row>
    <row r="12" spans="1:9" ht="15" x14ac:dyDescent="0.25">
      <c r="A12">
        <v>10</v>
      </c>
      <c r="B12" s="160" t="b">
        <f>IF(HVAC!$E14="High Eff. AC Unit",IF(HVAC!$G14&lt;References!$T$116,References!$L$116,IF(AND(HVAC!$G14&lt;References!$T$117,HVAC!$G14&gt;References!$S$117),References!$L$117,IF(AND(HVAC!$G14&lt;References!$T$118,HVAC!$G14&gt;References!$S$118),References!$L$118,IF(AND(HVAC!$G14&lt;References!$T$119,HVAC!$G14&gt;References!$S$119),References!$L$119,IF(HVAC!$G14&gt;References!$S$120,References!$L$120,""))))))</f>
        <v>0</v>
      </c>
      <c r="C12" s="160" t="b">
        <f>IF(HVAC!$E14="High Eff. Heat Pump Unit",IF(HVAC!$G14&lt;References!$T$121,References!$L$121,IF(AND(HVAC!$G14&lt;References!$T$122,HVAC!$G14&gt;References!$S$122),References!$L$122,IF(AND(HVAC!$G14&lt;References!$T$123,HVAC!$G14&gt;References!$S$123),References!$L$123,IF(HVAC!$G14&gt;References!$S$124,References!$L$124,"")))))</f>
        <v>0</v>
      </c>
      <c r="D12" s="160" t="b">
        <f>IF(HVAC!$E14="High Eff. AC Unit",IF(HVAC!$G14&lt;References!$T$116,References!$M$116,IF(AND(HVAC!$G14&lt;References!$T$117,HVAC!$G14&gt;References!$S$117),References!$M$117,IF(AND(HVAC!$G14&lt;References!$T$118,HVAC!$G14&gt;References!$S$118),References!$M$118,IF(AND(HVAC!$G14&lt;References!$T$119,HVAC!$G14&gt;References!$S$119),References!$M$119,IF(HVAC!$G14&gt;References!$S$120,References!$M$120,""))))))</f>
        <v>0</v>
      </c>
      <c r="E12" s="160" t="b">
        <f>IF(HVAC!$E14="High Eff. Heat Pump Unit",IF(HVAC!$G14&lt;References!$T$121,References!$M$121,IF(AND(HVAC!$G14&lt;References!$T$122,HVAC!$G14&gt;References!$S$122),References!$M$122,IF(AND(HVAC!$G14&lt;References!$T$123,HVAC!$G14&gt;References!$S$123),References!$M$123,IF(HVAC!$G14&gt;References!$S$124,References!$M$124,"")))))</f>
        <v>0</v>
      </c>
      <c r="F12" s="160" t="b">
        <f>IF(HVAC!$E14="High Eff. Heat Pump Unit",IF(HVAC!$G14&lt;References!$T$121,References!$N$121,IF(AND(HVAC!$G14&lt;References!$T$122,HVAC!$G14&gt;References!$S$122),References!$N$122,IF(AND(HVAC!$G14&lt;References!$T$123,HVAC!$G14&gt;References!$S$123),References!$N$123,IF(HVAC!$G14&gt;References!$S$124,References!$N$124,"")))))</f>
        <v>0</v>
      </c>
      <c r="H12" s="224">
        <f>IF(HVAC!$E14="High Eff. AC Unit",HVAC!$G14*References!$K$4*((1/'HVAC Calcs'!$D12)-(1/HVAC!$I14)),IF(HVAC!$E14="High Eff. Heat Pump Unit",HVAC!$G14*References!$K$5*((1/'HVAC Calcs'!$E12)-(1/HVAC!$I14))+HVAC!$G14*References!$N$5*((1/'HVAC Calcs'!$F12)-(1/HVAC!$J14)),0))</f>
        <v>0</v>
      </c>
      <c r="I12" s="225" t="b">
        <f>IF(HVAC!$E14="High Eff. AC Unit",HVAC!$G14*References!$L$4*((1/'HVAC Calcs'!$B12)-(1/HVAC!$H14)),IF(HVAC!$E14="High Eff. Heat Pump Unit",HVAC!$G14*References!$L$5*((1/'HVAC Calcs'!$C12)-(1/HVAC!$H14))))</f>
        <v>0</v>
      </c>
    </row>
    <row r="13" spans="1:9" ht="15" x14ac:dyDescent="0.25">
      <c r="A13">
        <v>11</v>
      </c>
      <c r="B13" s="160" t="b">
        <f>IF(HVAC!$E15="High Eff. AC Unit",IF(HVAC!$G15&lt;References!$T$116,References!$L$116,IF(AND(HVAC!$G15&lt;References!$T$117,HVAC!$G15&gt;References!$S$117),References!$L$117,IF(AND(HVAC!$G15&lt;References!$T$118,HVAC!$G15&gt;References!$S$118),References!$L$118,IF(AND(HVAC!$G15&lt;References!$T$119,HVAC!$G15&gt;References!$S$119),References!$L$119,IF(HVAC!$G15&gt;References!$S$120,References!$L$120,""))))))</f>
        <v>0</v>
      </c>
      <c r="C13" s="160" t="b">
        <f>IF(HVAC!$E15="High Eff. Heat Pump Unit",IF(HVAC!$G15&lt;References!$T$121,References!$L$121,IF(AND(HVAC!$G15&lt;References!$T$122,HVAC!$G15&gt;References!$S$122),References!$L$122,IF(AND(HVAC!$G15&lt;References!$T$123,HVAC!$G15&gt;References!$S$123),References!$L$123,IF(HVAC!$G15&gt;References!$S$124,References!$L$124,"")))))</f>
        <v>0</v>
      </c>
      <c r="D13" s="160" t="b">
        <f>IF(HVAC!$E15="High Eff. AC Unit",IF(HVAC!$G15&lt;References!$T$116,References!$M$116,IF(AND(HVAC!$G15&lt;References!$T$117,HVAC!$G15&gt;References!$S$117),References!$M$117,IF(AND(HVAC!$G15&lt;References!$T$118,HVAC!$G15&gt;References!$S$118),References!$M$118,IF(AND(HVAC!$G15&lt;References!$T$119,HVAC!$G15&gt;References!$S$119),References!$M$119,IF(HVAC!$G15&gt;References!$S$120,References!$M$120,""))))))</f>
        <v>0</v>
      </c>
      <c r="E13" s="160" t="b">
        <f>IF(HVAC!$E15="High Eff. Heat Pump Unit",IF(HVAC!$G15&lt;References!$T$121,References!$M$121,IF(AND(HVAC!$G15&lt;References!$T$122,HVAC!$G15&gt;References!$S$122),References!$M$122,IF(AND(HVAC!$G15&lt;References!$T$123,HVAC!$G15&gt;References!$S$123),References!$M$123,IF(HVAC!$G15&gt;References!$S$124,References!$M$124,"")))))</f>
        <v>0</v>
      </c>
      <c r="F13" s="160" t="b">
        <f>IF(HVAC!$E15="High Eff. Heat Pump Unit",IF(HVAC!$G15&lt;References!$T$121,References!$N$121,IF(AND(HVAC!$G15&lt;References!$T$122,HVAC!$G15&gt;References!$S$122),References!$N$122,IF(AND(HVAC!$G15&lt;References!$T$123,HVAC!$G15&gt;References!$S$123),References!$N$123,IF(HVAC!$G15&gt;References!$S$124,References!$N$124,"")))))</f>
        <v>0</v>
      </c>
      <c r="H13" s="224">
        <f>IF(HVAC!$E15="High Eff. AC Unit",HVAC!$G15*References!$K$4*((1/'HVAC Calcs'!$D13)-(1/HVAC!$I15)),IF(HVAC!$E15="High Eff. Heat Pump Unit",HVAC!$G15*References!$K$5*((1/'HVAC Calcs'!$E13)-(1/HVAC!$I15))+HVAC!$G15*References!$N$5*((1/'HVAC Calcs'!$F13)-(1/HVAC!$J15)),0))</f>
        <v>0</v>
      </c>
      <c r="I13" s="225" t="b">
        <f>IF(HVAC!$E15="High Eff. AC Unit",HVAC!$G15*References!$L$4*((1/'HVAC Calcs'!$B13)-(1/HVAC!$H15)),IF(HVAC!$E15="High Eff. Heat Pump Unit",HVAC!$G15*References!$L$5*((1/'HVAC Calcs'!$C13)-(1/HVAC!$H15))))</f>
        <v>0</v>
      </c>
    </row>
    <row r="14" spans="1:9" ht="15" x14ac:dyDescent="0.25">
      <c r="A14">
        <v>12</v>
      </c>
      <c r="B14" s="160" t="b">
        <f>IF(HVAC!$E16="High Eff. AC Unit",IF(HVAC!$G16&lt;References!$T$116,References!$L$116,IF(AND(HVAC!$G16&lt;References!$T$117,HVAC!$G16&gt;References!$S$117),References!$L$117,IF(AND(HVAC!$G16&lt;References!$T$118,HVAC!$G16&gt;References!$S$118),References!$L$118,IF(AND(HVAC!$G16&lt;References!$T$119,HVAC!$G16&gt;References!$S$119),References!$L$119,IF(HVAC!$G16&gt;References!$S$120,References!$L$120,""))))))</f>
        <v>0</v>
      </c>
      <c r="C14" s="160" t="b">
        <f>IF(HVAC!$E16="High Eff. Heat Pump Unit",IF(HVAC!$G16&lt;References!$T$121,References!$L$121,IF(AND(HVAC!$G16&lt;References!$T$122,HVAC!$G16&gt;References!$S$122),References!$L$122,IF(AND(HVAC!$G16&lt;References!$T$123,HVAC!$G16&gt;References!$S$123),References!$L$123,IF(HVAC!$G16&gt;References!$S$124,References!$L$124,"")))))</f>
        <v>0</v>
      </c>
      <c r="D14" s="160" t="b">
        <f>IF(HVAC!$E16="High Eff. AC Unit",IF(HVAC!$G16&lt;References!$T$116,References!$M$116,IF(AND(HVAC!$G16&lt;References!$T$117,HVAC!$G16&gt;References!$S$117),References!$M$117,IF(AND(HVAC!$G16&lt;References!$T$118,HVAC!$G16&gt;References!$S$118),References!$M$118,IF(AND(HVAC!$G16&lt;References!$T$119,HVAC!$G16&gt;References!$S$119),References!$M$119,IF(HVAC!$G16&gt;References!$S$120,References!$M$120,""))))))</f>
        <v>0</v>
      </c>
      <c r="E14" s="160" t="b">
        <f>IF(HVAC!$E16="High Eff. Heat Pump Unit",IF(HVAC!$G16&lt;References!$T$121,References!$M$121,IF(AND(HVAC!$G16&lt;References!$T$122,HVAC!$G16&gt;References!$S$122),References!$M$122,IF(AND(HVAC!$G16&lt;References!$T$123,HVAC!$G16&gt;References!$S$123),References!$M$123,IF(HVAC!$G16&gt;References!$S$124,References!$M$124,"")))))</f>
        <v>0</v>
      </c>
      <c r="F14" s="160" t="b">
        <f>IF(HVAC!$E16="High Eff. Heat Pump Unit",IF(HVAC!$G16&lt;References!$T$121,References!$N$121,IF(AND(HVAC!$G16&lt;References!$T$122,HVAC!$G16&gt;References!$S$122),References!$N$122,IF(AND(HVAC!$G16&lt;References!$T$123,HVAC!$G16&gt;References!$S$123),References!$N$123,IF(HVAC!$G16&gt;References!$S$124,References!$N$124,"")))))</f>
        <v>0</v>
      </c>
      <c r="H14" s="224">
        <f>IF(HVAC!$E16="High Eff. AC Unit",HVAC!$G16*References!$K$4*((1/'HVAC Calcs'!$D14)-(1/HVAC!$I16)),IF(HVAC!$E16="High Eff. Heat Pump Unit",HVAC!$G16*References!$K$5*((1/'HVAC Calcs'!$E14)-(1/HVAC!$I16))+HVAC!$G16*References!$N$5*((1/'HVAC Calcs'!$F14)-(1/HVAC!$J16)),0))</f>
        <v>0</v>
      </c>
      <c r="I14" s="225" t="b">
        <f>IF(HVAC!$E16="High Eff. AC Unit",HVAC!$G16*References!$L$4*((1/'HVAC Calcs'!$B14)-(1/HVAC!$H16)),IF(HVAC!$E16="High Eff. Heat Pump Unit",HVAC!$G16*References!$L$5*((1/'HVAC Calcs'!$C14)-(1/HVAC!$H16))))</f>
        <v>0</v>
      </c>
    </row>
    <row r="15" spans="1:9" ht="15" x14ac:dyDescent="0.25">
      <c r="A15">
        <v>13</v>
      </c>
      <c r="B15" s="160" t="b">
        <f>IF(HVAC!$E17="High Eff. AC Unit",IF(HVAC!$G17&lt;References!$T$116,References!$L$116,IF(AND(HVAC!$G17&lt;References!$T$117,HVAC!$G17&gt;References!$S$117),References!$L$117,IF(AND(HVAC!$G17&lt;References!$T$118,HVAC!$G17&gt;References!$S$118),References!$L$118,IF(AND(HVAC!$G17&lt;References!$T$119,HVAC!$G17&gt;References!$S$119),References!$L$119,IF(HVAC!$G17&gt;References!$S$120,References!$L$120,""))))))</f>
        <v>0</v>
      </c>
      <c r="C15" s="160" t="b">
        <f>IF(HVAC!$E17="High Eff. Heat Pump Unit",IF(HVAC!$G17&lt;References!$T$121,References!$L$121,IF(AND(HVAC!$G17&lt;References!$T$122,HVAC!$G17&gt;References!$S$122),References!$L$122,IF(AND(HVAC!$G17&lt;References!$T$123,HVAC!$G17&gt;References!$S$123),References!$L$123,IF(HVAC!$G17&gt;References!$S$124,References!$L$124,"")))))</f>
        <v>0</v>
      </c>
      <c r="D15" s="160" t="b">
        <f>IF(HVAC!$E17="High Eff. AC Unit",IF(HVAC!$G17&lt;References!$T$116,References!$M$116,IF(AND(HVAC!$G17&lt;References!$T$117,HVAC!$G17&gt;References!$S$117),References!$M$117,IF(AND(HVAC!$G17&lt;References!$T$118,HVAC!$G17&gt;References!$S$118),References!$M$118,IF(AND(HVAC!$G17&lt;References!$T$119,HVAC!$G17&gt;References!$S$119),References!$M$119,IF(HVAC!$G17&gt;References!$S$120,References!$M$120,""))))))</f>
        <v>0</v>
      </c>
      <c r="E15" s="160" t="b">
        <f>IF(HVAC!$E17="High Eff. Heat Pump Unit",IF(HVAC!$G17&lt;References!$T$121,References!$M$121,IF(AND(HVAC!$G17&lt;References!$T$122,HVAC!$G17&gt;References!$S$122),References!$M$122,IF(AND(HVAC!$G17&lt;References!$T$123,HVAC!$G17&gt;References!$S$123),References!$M$123,IF(HVAC!$G17&gt;References!$S$124,References!$M$124,"")))))</f>
        <v>0</v>
      </c>
      <c r="F15" s="160" t="b">
        <f>IF(HVAC!$E17="High Eff. Heat Pump Unit",IF(HVAC!$G17&lt;References!$T$121,References!$N$121,IF(AND(HVAC!$G17&lt;References!$T$122,HVAC!$G17&gt;References!$S$122),References!$N$122,IF(AND(HVAC!$G17&lt;References!$T$123,HVAC!$G17&gt;References!$S$123),References!$N$123,IF(HVAC!$G17&gt;References!$S$124,References!$N$124,"")))))</f>
        <v>0</v>
      </c>
      <c r="H15" s="224">
        <f>IF(HVAC!$E17="High Eff. AC Unit",HVAC!$G17*References!$K$4*((1/'HVAC Calcs'!$D15)-(1/HVAC!$I17)),IF(HVAC!$E17="High Eff. Heat Pump Unit",HVAC!$G17*References!$K$5*((1/'HVAC Calcs'!$E15)-(1/HVAC!$I17))+HVAC!$G17*References!$N$5*((1/'HVAC Calcs'!$F15)-(1/HVAC!$J17)),0))</f>
        <v>0</v>
      </c>
      <c r="I15" s="225" t="b">
        <f>IF(HVAC!$E17="High Eff. AC Unit",HVAC!$G17*References!$L$4*((1/'HVAC Calcs'!$B15)-(1/HVAC!$H17)),IF(HVAC!$E17="High Eff. Heat Pump Unit",HVAC!$G17*References!$L$5*((1/'HVAC Calcs'!$C15)-(1/HVAC!$H17))))</f>
        <v>0</v>
      </c>
    </row>
    <row r="16" spans="1:9" ht="15" x14ac:dyDescent="0.25">
      <c r="A16">
        <v>14</v>
      </c>
      <c r="B16" s="160" t="b">
        <f>IF(HVAC!$E18="High Eff. AC Unit",IF(HVAC!$G18&lt;References!$T$116,References!$L$116,IF(AND(HVAC!$G18&lt;References!$T$117,HVAC!$G18&gt;References!$S$117),References!$L$117,IF(AND(HVAC!$G18&lt;References!$T$118,HVAC!$G18&gt;References!$S$118),References!$L$118,IF(AND(HVAC!$G18&lt;References!$T$119,HVAC!$G18&gt;References!$S$119),References!$L$119,IF(HVAC!$G18&gt;References!$S$120,References!$L$120,""))))))</f>
        <v>0</v>
      </c>
      <c r="C16" s="160" t="b">
        <f>IF(HVAC!$E18="High Eff. Heat Pump Unit",IF(HVAC!$G18&lt;References!$T$121,References!$L$121,IF(AND(HVAC!$G18&lt;References!$T$122,HVAC!$G18&gt;References!$S$122),References!$L$122,IF(AND(HVAC!$G18&lt;References!$T$123,HVAC!$G18&gt;References!$S$123),References!$L$123,IF(HVAC!$G18&gt;References!$S$124,References!$L$124,"")))))</f>
        <v>0</v>
      </c>
      <c r="D16" s="160" t="b">
        <f>IF(HVAC!$E18="High Eff. AC Unit",IF(HVAC!$G18&lt;References!$T$116,References!$M$116,IF(AND(HVAC!$G18&lt;References!$T$117,HVAC!$G18&gt;References!$S$117),References!$M$117,IF(AND(HVAC!$G18&lt;References!$T$118,HVAC!$G18&gt;References!$S$118),References!$M$118,IF(AND(HVAC!$G18&lt;References!$T$119,HVAC!$G18&gt;References!$S$119),References!$M$119,IF(HVAC!$G18&gt;References!$S$120,References!$M$120,""))))))</f>
        <v>0</v>
      </c>
      <c r="E16" s="160" t="b">
        <f>IF(HVAC!$E18="High Eff. Heat Pump Unit",IF(HVAC!$G18&lt;References!$T$121,References!$M$121,IF(AND(HVAC!$G18&lt;References!$T$122,HVAC!$G18&gt;References!$S$122),References!$M$122,IF(AND(HVAC!$G18&lt;References!$T$123,HVAC!$G18&gt;References!$S$123),References!$M$123,IF(HVAC!$G18&gt;References!$S$124,References!$M$124,"")))))</f>
        <v>0</v>
      </c>
      <c r="F16" s="160" t="b">
        <f>IF(HVAC!$E18="High Eff. Heat Pump Unit",IF(HVAC!$G18&lt;References!$T$121,References!$N$121,IF(AND(HVAC!$G18&lt;References!$T$122,HVAC!$G18&gt;References!$S$122),References!$N$122,IF(AND(HVAC!$G18&lt;References!$T$123,HVAC!$G18&gt;References!$S$123),References!$N$123,IF(HVAC!$G18&gt;References!$S$124,References!$N$124,"")))))</f>
        <v>0</v>
      </c>
      <c r="H16" s="224">
        <f>IF(HVAC!$E18="High Eff. AC Unit",HVAC!$G18*References!$K$4*((1/'HVAC Calcs'!$D16)-(1/HVAC!$I18)),IF(HVAC!$E18="High Eff. Heat Pump Unit",HVAC!$G18*References!$K$5*((1/'HVAC Calcs'!$E16)-(1/HVAC!$I18))+HVAC!$G18*References!$N$5*((1/'HVAC Calcs'!$F16)-(1/HVAC!$J18)),0))</f>
        <v>0</v>
      </c>
      <c r="I16" s="225" t="b">
        <f>IF(HVAC!$E18="High Eff. AC Unit",HVAC!$G18*References!$L$4*((1/'HVAC Calcs'!$B16)-(1/HVAC!$H18)),IF(HVAC!$E18="High Eff. Heat Pump Unit",HVAC!$G18*References!$L$5*((1/'HVAC Calcs'!$C16)-(1/HVAC!$H18))))</f>
        <v>0</v>
      </c>
    </row>
    <row r="17" spans="1:9" ht="15" x14ac:dyDescent="0.25">
      <c r="A17">
        <v>15</v>
      </c>
      <c r="B17" s="160" t="b">
        <f>IF(HVAC!$E19="High Eff. AC Unit",IF(HVAC!$G19&lt;References!$T$116,References!$L$116,IF(AND(HVAC!$G19&lt;References!$T$117,HVAC!$G19&gt;References!$S$117),References!$L$117,IF(AND(HVAC!$G19&lt;References!$T$118,HVAC!$G19&gt;References!$S$118),References!$L$118,IF(AND(HVAC!$G19&lt;References!$T$119,HVAC!$G19&gt;References!$S$119),References!$L$119,IF(HVAC!$G19&gt;References!$S$120,References!$L$120,""))))))</f>
        <v>0</v>
      </c>
      <c r="C17" s="160" t="b">
        <f>IF(HVAC!$E19="High Eff. Heat Pump Unit",IF(HVAC!$G19&lt;References!$T$121,References!$L$121,IF(AND(HVAC!$G19&lt;References!$T$122,HVAC!$G19&gt;References!$S$122),References!$L$122,IF(AND(HVAC!$G19&lt;References!$T$123,HVAC!$G19&gt;References!$S$123),References!$L$123,IF(HVAC!$G19&gt;References!$S$124,References!$L$124,"")))))</f>
        <v>0</v>
      </c>
      <c r="D17" s="160" t="b">
        <f>IF(HVAC!$E19="High Eff. AC Unit",IF(HVAC!$G19&lt;References!$T$116,References!$M$116,IF(AND(HVAC!$G19&lt;References!$T$117,HVAC!$G19&gt;References!$S$117),References!$M$117,IF(AND(HVAC!$G19&lt;References!$T$118,HVAC!$G19&gt;References!$S$118),References!$M$118,IF(AND(HVAC!$G19&lt;References!$T$119,HVAC!$G19&gt;References!$S$119),References!$M$119,IF(HVAC!$G19&gt;References!$S$120,References!$M$120,""))))))</f>
        <v>0</v>
      </c>
      <c r="E17" s="160" t="b">
        <f>IF(HVAC!$E19="High Eff. Heat Pump Unit",IF(HVAC!$G19&lt;References!$T$121,References!$M$121,IF(AND(HVAC!$G19&lt;References!$T$122,HVAC!$G19&gt;References!$S$122),References!$M$122,IF(AND(HVAC!$G19&lt;References!$T$123,HVAC!$G19&gt;References!$S$123),References!$M$123,IF(HVAC!$G19&gt;References!$S$124,References!$M$124,"")))))</f>
        <v>0</v>
      </c>
      <c r="F17" s="160" t="b">
        <f>IF(HVAC!$E19="High Eff. Heat Pump Unit",IF(HVAC!$G19&lt;References!$T$121,References!$N$121,IF(AND(HVAC!$G19&lt;References!$T$122,HVAC!$G19&gt;References!$S$122),References!$N$122,IF(AND(HVAC!$G19&lt;References!$T$123,HVAC!$G19&gt;References!$S$123),References!$N$123,IF(HVAC!$G19&gt;References!$S$124,References!$N$124,"")))))</f>
        <v>0</v>
      </c>
      <c r="H17" s="224">
        <f>IF(HVAC!$E19="High Eff. AC Unit",HVAC!$G19*References!$K$4*((1/'HVAC Calcs'!$D17)-(1/HVAC!$I19)),IF(HVAC!$E19="High Eff. Heat Pump Unit",HVAC!$G19*References!$K$5*((1/'HVAC Calcs'!$E17)-(1/HVAC!$I19))+HVAC!$G19*References!$N$5*((1/'HVAC Calcs'!$F17)-(1/HVAC!$J19)),0))</f>
        <v>0</v>
      </c>
      <c r="I17" s="225" t="b">
        <f>IF(HVAC!$E19="High Eff. AC Unit",HVAC!$G19*References!$L$4*((1/'HVAC Calcs'!$B17)-(1/HVAC!$H19)),IF(HVAC!$E19="High Eff. Heat Pump Unit",HVAC!$G19*References!$L$5*((1/'HVAC Calcs'!$C17)-(1/HVAC!$H19))))</f>
        <v>0</v>
      </c>
    </row>
    <row r="18" spans="1:9" ht="15" x14ac:dyDescent="0.25">
      <c r="A18">
        <v>16</v>
      </c>
      <c r="B18" s="160" t="b">
        <f>IF(HVAC!$E20="High Eff. AC Unit",IF(HVAC!$G20&lt;References!$T$116,References!$L$116,IF(AND(HVAC!$G20&lt;References!$T$117,HVAC!$G20&gt;References!$S$117),References!$L$117,IF(AND(HVAC!$G20&lt;References!$T$118,HVAC!$G20&gt;References!$S$118),References!$L$118,IF(AND(HVAC!$G20&lt;References!$T$119,HVAC!$G20&gt;References!$S$119),References!$L$119,IF(HVAC!$G20&gt;References!$S$120,References!$L$120,""))))))</f>
        <v>0</v>
      </c>
      <c r="C18" s="160" t="b">
        <f>IF(HVAC!$E20="High Eff. Heat Pump Unit",IF(HVAC!$G20&lt;References!$T$121,References!$L$121,IF(AND(HVAC!$G20&lt;References!$T$122,HVAC!$G20&gt;References!$S$122),References!$L$122,IF(AND(HVAC!$G20&lt;References!$T$123,HVAC!$G20&gt;References!$S$123),References!$L$123,IF(HVAC!$G20&gt;References!$S$124,References!$L$124,"")))))</f>
        <v>0</v>
      </c>
      <c r="D18" s="160" t="b">
        <f>IF(HVAC!$E20="High Eff. AC Unit",IF(HVAC!$G20&lt;References!$T$116,References!$M$116,IF(AND(HVAC!$G20&lt;References!$T$117,HVAC!$G20&gt;References!$S$117),References!$M$117,IF(AND(HVAC!$G20&lt;References!$T$118,HVAC!$G20&gt;References!$S$118),References!$M$118,IF(AND(HVAC!$G20&lt;References!$T$119,HVAC!$G20&gt;References!$S$119),References!$M$119,IF(HVAC!$G20&gt;References!$S$120,References!$M$120,""))))))</f>
        <v>0</v>
      </c>
      <c r="E18" s="160" t="b">
        <f>IF(HVAC!$E20="High Eff. Heat Pump Unit",IF(HVAC!$G20&lt;References!$T$121,References!$M$121,IF(AND(HVAC!$G20&lt;References!$T$122,HVAC!$G20&gt;References!$S$122),References!$M$122,IF(AND(HVAC!$G20&lt;References!$T$123,HVAC!$G20&gt;References!$S$123),References!$M$123,IF(HVAC!$G20&gt;References!$S$124,References!$M$124,"")))))</f>
        <v>0</v>
      </c>
      <c r="F18" s="160" t="b">
        <f>IF(HVAC!$E20="High Eff. Heat Pump Unit",IF(HVAC!$G20&lt;References!$T$121,References!$N$121,IF(AND(HVAC!$G20&lt;References!$T$122,HVAC!$G20&gt;References!$S$122),References!$N$122,IF(AND(HVAC!$G20&lt;References!$T$123,HVAC!$G20&gt;References!$S$123),References!$N$123,IF(HVAC!$G20&gt;References!$S$124,References!$N$124,"")))))</f>
        <v>0</v>
      </c>
      <c r="H18" s="224">
        <f>IF(HVAC!$E20="High Eff. AC Unit",HVAC!$G20*References!$K$4*((1/'HVAC Calcs'!$D18)-(1/HVAC!$I20)),IF(HVAC!$E20="High Eff. Heat Pump Unit",HVAC!$G20*References!$K$5*((1/'HVAC Calcs'!$E18)-(1/HVAC!$I20))+HVAC!$G20*References!$N$5*((1/'HVAC Calcs'!$F18)-(1/HVAC!$J20)),0))</f>
        <v>0</v>
      </c>
      <c r="I18" s="225" t="b">
        <f>IF(HVAC!$E20="High Eff. AC Unit",HVAC!$G20*References!$L$4*((1/'HVAC Calcs'!$B18)-(1/HVAC!$H20)),IF(HVAC!$E20="High Eff. Heat Pump Unit",HVAC!$G20*References!$L$5*((1/'HVAC Calcs'!$C18)-(1/HVAC!$H20))))</f>
        <v>0</v>
      </c>
    </row>
    <row r="19" spans="1:9" ht="15" x14ac:dyDescent="0.25">
      <c r="A19">
        <v>17</v>
      </c>
      <c r="B19" s="160" t="b">
        <f>IF(HVAC!$E21="High Eff. AC Unit",IF(HVAC!$G21&lt;References!$T$116,References!$L$116,IF(AND(HVAC!$G21&lt;References!$T$117,HVAC!$G21&gt;References!$S$117),References!$L$117,IF(AND(HVAC!$G21&lt;References!$T$118,HVAC!$G21&gt;References!$S$118),References!$L$118,IF(AND(HVAC!$G21&lt;References!$T$119,HVAC!$G21&gt;References!$S$119),References!$L$119,IF(HVAC!$G21&gt;References!$S$120,References!$L$120,""))))))</f>
        <v>0</v>
      </c>
      <c r="C19" s="160" t="b">
        <f>IF(HVAC!$E21="High Eff. Heat Pump Unit",IF(HVAC!$G21&lt;References!$T$121,References!$L$121,IF(AND(HVAC!$G21&lt;References!$T$122,HVAC!$G21&gt;References!$S$122),References!$L$122,IF(AND(HVAC!$G21&lt;References!$T$123,HVAC!$G21&gt;References!$S$123),References!$L$123,IF(HVAC!$G21&gt;References!$S$124,References!$L$124,"")))))</f>
        <v>0</v>
      </c>
      <c r="D19" s="160" t="b">
        <f>IF(HVAC!$E21="High Eff. AC Unit",IF(HVAC!$G21&lt;References!$T$116,References!$M$116,IF(AND(HVAC!$G21&lt;References!$T$117,HVAC!$G21&gt;References!$S$117),References!$M$117,IF(AND(HVAC!$G21&lt;References!$T$118,HVAC!$G21&gt;References!$S$118),References!$M$118,IF(AND(HVAC!$G21&lt;References!$T$119,HVAC!$G21&gt;References!$S$119),References!$M$119,IF(HVAC!$G21&gt;References!$S$120,References!$M$120,""))))))</f>
        <v>0</v>
      </c>
      <c r="E19" s="160" t="b">
        <f>IF(HVAC!$E21="High Eff. Heat Pump Unit",IF(HVAC!$G21&lt;References!$T$121,References!$M$121,IF(AND(HVAC!$G21&lt;References!$T$122,HVAC!$G21&gt;References!$S$122),References!$M$122,IF(AND(HVAC!$G21&lt;References!$T$123,HVAC!$G21&gt;References!$S$123),References!$M$123,IF(HVAC!$G21&gt;References!$S$124,References!$M$124,"")))))</f>
        <v>0</v>
      </c>
      <c r="F19" s="160" t="b">
        <f>IF(HVAC!$E21="High Eff. Heat Pump Unit",IF(HVAC!$G21&lt;References!$T$121,References!$N$121,IF(AND(HVAC!$G21&lt;References!$T$122,HVAC!$G21&gt;References!$S$122),References!$N$122,IF(AND(HVAC!$G21&lt;References!$T$123,HVAC!$G21&gt;References!$S$123),References!$N$123,IF(HVAC!$G21&gt;References!$S$124,References!$N$124,"")))))</f>
        <v>0</v>
      </c>
      <c r="H19" s="224">
        <f>IF(HVAC!$E21="High Eff. AC Unit",HVAC!$G21*References!$K$4*((1/'HVAC Calcs'!$D19)-(1/HVAC!$I21)),IF(HVAC!$E21="High Eff. Heat Pump Unit",HVAC!$G21*References!$K$5*((1/'HVAC Calcs'!$E19)-(1/HVAC!$I21))+HVAC!$G21*References!$N$5*((1/'HVAC Calcs'!$F19)-(1/HVAC!$J21)),0))</f>
        <v>0</v>
      </c>
      <c r="I19" s="225" t="b">
        <f>IF(HVAC!$E21="High Eff. AC Unit",HVAC!$G21*References!$L$4*((1/'HVAC Calcs'!$B19)-(1/HVAC!$H21)),IF(HVAC!$E21="High Eff. Heat Pump Unit",HVAC!$G21*References!$L$5*((1/'HVAC Calcs'!$C19)-(1/HVAC!$H21))))</f>
        <v>0</v>
      </c>
    </row>
    <row r="20" spans="1:9" ht="15" x14ac:dyDescent="0.25">
      <c r="A20">
        <v>18</v>
      </c>
      <c r="B20" s="160" t="b">
        <f>IF(HVAC!$E22="High Eff. AC Unit",IF(HVAC!$G22&lt;References!$T$116,References!$L$116,IF(AND(HVAC!$G22&lt;References!$T$117,HVAC!$G22&gt;References!$S$117),References!$L$117,IF(AND(HVAC!$G22&lt;References!$T$118,HVAC!$G22&gt;References!$S$118),References!$L$118,IF(AND(HVAC!$G22&lt;References!$T$119,HVAC!$G22&gt;References!$S$119),References!$L$119,IF(HVAC!$G22&gt;References!$S$120,References!$L$120,""))))))</f>
        <v>0</v>
      </c>
      <c r="C20" s="160" t="b">
        <f>IF(HVAC!$E22="High Eff. Heat Pump Unit",IF(HVAC!$G22&lt;References!$T$121,References!$L$121,IF(AND(HVAC!$G22&lt;References!$T$122,HVAC!$G22&gt;References!$S$122),References!$L$122,IF(AND(HVAC!$G22&lt;References!$T$123,HVAC!$G22&gt;References!$S$123),References!$L$123,IF(HVAC!$G22&gt;References!$S$124,References!$L$124,"")))))</f>
        <v>0</v>
      </c>
      <c r="D20" s="160" t="b">
        <f>IF(HVAC!$E22="High Eff. AC Unit",IF(HVAC!$G22&lt;References!$T$116,References!$M$116,IF(AND(HVAC!$G22&lt;References!$T$117,HVAC!$G22&gt;References!$S$117),References!$M$117,IF(AND(HVAC!$G22&lt;References!$T$118,HVAC!$G22&gt;References!$S$118),References!$M$118,IF(AND(HVAC!$G22&lt;References!$T$119,HVAC!$G22&gt;References!$S$119),References!$M$119,IF(HVAC!$G22&gt;References!$S$120,References!$M$120,""))))))</f>
        <v>0</v>
      </c>
      <c r="E20" s="160" t="b">
        <f>IF(HVAC!$E22="High Eff. Heat Pump Unit",IF(HVAC!$G22&lt;References!$T$121,References!$M$121,IF(AND(HVAC!$G22&lt;References!$T$122,HVAC!$G22&gt;References!$S$122),References!$M$122,IF(AND(HVAC!$G22&lt;References!$T$123,HVAC!$G22&gt;References!$S$123),References!$M$123,IF(HVAC!$G22&gt;References!$S$124,References!$M$124,"")))))</f>
        <v>0</v>
      </c>
      <c r="F20" s="160" t="b">
        <f>IF(HVAC!$E22="High Eff. Heat Pump Unit",IF(HVAC!$G22&lt;References!$T$121,References!$N$121,IF(AND(HVAC!$G22&lt;References!$T$122,HVAC!$G22&gt;References!$S$122),References!$N$122,IF(AND(HVAC!$G22&lt;References!$T$123,HVAC!$G22&gt;References!$S$123),References!$N$123,IF(HVAC!$G22&gt;References!$S$124,References!$N$124,"")))))</f>
        <v>0</v>
      </c>
      <c r="H20" s="224">
        <f>IF(HVAC!$E22="High Eff. AC Unit",HVAC!$G22*References!$K$4*((1/'HVAC Calcs'!$D20)-(1/HVAC!$I22)),IF(HVAC!$E22="High Eff. Heat Pump Unit",HVAC!$G22*References!$K$5*((1/'HVAC Calcs'!$E20)-(1/HVAC!$I22))+HVAC!$G22*References!$N$5*((1/'HVAC Calcs'!$F20)-(1/HVAC!$J22)),0))</f>
        <v>0</v>
      </c>
      <c r="I20" s="225" t="b">
        <f>IF(HVAC!$E22="High Eff. AC Unit",HVAC!$G22*References!$L$4*((1/'HVAC Calcs'!$B20)-(1/HVAC!$H22)),IF(HVAC!$E22="High Eff. Heat Pump Unit",HVAC!$G22*References!$L$5*((1/'HVAC Calcs'!$C20)-(1/HVAC!$H22))))</f>
        <v>0</v>
      </c>
    </row>
    <row r="21" spans="1:9" ht="15" x14ac:dyDescent="0.25">
      <c r="A21">
        <v>19</v>
      </c>
      <c r="B21" s="160" t="b">
        <f>IF(HVAC!$E23="High Eff. AC Unit",IF(HVAC!$G23&lt;References!$T$116,References!$L$116,IF(AND(HVAC!$G23&lt;References!$T$117,HVAC!$G23&gt;References!$S$117),References!$L$117,IF(AND(HVAC!$G23&lt;References!$T$118,HVAC!$G23&gt;References!$S$118),References!$L$118,IF(AND(HVAC!$G23&lt;References!$T$119,HVAC!$G23&gt;References!$S$119),References!$L$119,IF(HVAC!$G23&gt;References!$S$120,References!$L$120,""))))))</f>
        <v>0</v>
      </c>
      <c r="C21" s="160" t="b">
        <f>IF(HVAC!$E23="High Eff. Heat Pump Unit",IF(HVAC!$G23&lt;References!$T$121,References!$L$121,IF(AND(HVAC!$G23&lt;References!$T$122,HVAC!$G23&gt;References!$S$122),References!$L$122,IF(AND(HVAC!$G23&lt;References!$T$123,HVAC!$G23&gt;References!$S$123),References!$L$123,IF(HVAC!$G23&gt;References!$S$124,References!$L$124,"")))))</f>
        <v>0</v>
      </c>
      <c r="D21" s="160" t="b">
        <f>IF(HVAC!$E23="High Eff. AC Unit",IF(HVAC!$G23&lt;References!$T$116,References!$M$116,IF(AND(HVAC!$G23&lt;References!$T$117,HVAC!$G23&gt;References!$S$117),References!$M$117,IF(AND(HVAC!$G23&lt;References!$T$118,HVAC!$G23&gt;References!$S$118),References!$M$118,IF(AND(HVAC!$G23&lt;References!$T$119,HVAC!$G23&gt;References!$S$119),References!$M$119,IF(HVAC!$G23&gt;References!$S$120,References!$M$120,""))))))</f>
        <v>0</v>
      </c>
      <c r="E21" s="160" t="b">
        <f>IF(HVAC!$E23="High Eff. Heat Pump Unit",IF(HVAC!$G23&lt;References!$T$121,References!$M$121,IF(AND(HVAC!$G23&lt;References!$T$122,HVAC!$G23&gt;References!$S$122),References!$M$122,IF(AND(HVAC!$G23&lt;References!$T$123,HVAC!$G23&gt;References!$S$123),References!$M$123,IF(HVAC!$G23&gt;References!$S$124,References!$M$124,"")))))</f>
        <v>0</v>
      </c>
      <c r="F21" s="160" t="b">
        <f>IF(HVAC!$E23="High Eff. Heat Pump Unit",IF(HVAC!$G23&lt;References!$T$121,References!$N$121,IF(AND(HVAC!$G23&lt;References!$T$122,HVAC!$G23&gt;References!$S$122),References!$N$122,IF(AND(HVAC!$G23&lt;References!$T$123,HVAC!$G23&gt;References!$S$123),References!$N$123,IF(HVAC!$G23&gt;References!$S$124,References!$N$124,"")))))</f>
        <v>0</v>
      </c>
      <c r="H21" s="224">
        <f>IF(HVAC!$E23="High Eff. AC Unit",HVAC!$G23*References!$K$4*((1/'HVAC Calcs'!$D21)-(1/HVAC!$I23)),IF(HVAC!$E23="High Eff. Heat Pump Unit",HVAC!$G23*References!$K$5*((1/'HVAC Calcs'!$E21)-(1/HVAC!$I23))+HVAC!$G23*References!$N$5*((1/'HVAC Calcs'!$F21)-(1/HVAC!$J23)),0))</f>
        <v>0</v>
      </c>
      <c r="I21" s="225" t="b">
        <f>IF(HVAC!$E23="High Eff. AC Unit",HVAC!$G23*References!$L$4*((1/'HVAC Calcs'!$B21)-(1/HVAC!$H23)),IF(HVAC!$E23="High Eff. Heat Pump Unit",HVAC!$G23*References!$L$5*((1/'HVAC Calcs'!$C21)-(1/HVAC!$H23))))</f>
        <v>0</v>
      </c>
    </row>
    <row r="22" spans="1:9" ht="15" x14ac:dyDescent="0.25">
      <c r="A22">
        <v>20</v>
      </c>
      <c r="B22" s="160" t="b">
        <f>IF(HVAC!$E24="High Eff. AC Unit",IF(HVAC!$G24&lt;References!$T$116,References!$L$116,IF(AND(HVAC!$G24&lt;References!$T$117,HVAC!$G24&gt;References!$S$117),References!$L$117,IF(AND(HVAC!$G24&lt;References!$T$118,HVAC!$G24&gt;References!$S$118),References!$L$118,IF(AND(HVAC!$G24&lt;References!$T$119,HVAC!$G24&gt;References!$S$119),References!$L$119,IF(HVAC!$G24&gt;References!$S$120,References!$L$120,""))))))</f>
        <v>0</v>
      </c>
      <c r="C22" s="160" t="b">
        <f>IF(HVAC!$E24="High Eff. Heat Pump Unit",IF(HVAC!$G24&lt;References!$T$121,References!$L$121,IF(AND(HVAC!$G24&lt;References!$T$122,HVAC!$G24&gt;References!$S$122),References!$L$122,IF(AND(HVAC!$G24&lt;References!$T$123,HVAC!$G24&gt;References!$S$123),References!$L$123,IF(HVAC!$G24&gt;References!$S$124,References!$L$124,"")))))</f>
        <v>0</v>
      </c>
      <c r="D22" s="160" t="b">
        <f>IF(HVAC!$E24="High Eff. AC Unit",IF(HVAC!$G24&lt;References!$T$116,References!$M$116,IF(AND(HVAC!$G24&lt;References!$T$117,HVAC!$G24&gt;References!$S$117),References!$M$117,IF(AND(HVAC!$G24&lt;References!$T$118,HVAC!$G24&gt;References!$S$118),References!$M$118,IF(AND(HVAC!$G24&lt;References!$T$119,HVAC!$G24&gt;References!$S$119),References!$M$119,IF(HVAC!$G24&gt;References!$S$120,References!$M$120,""))))))</f>
        <v>0</v>
      </c>
      <c r="E22" s="160" t="b">
        <f>IF(HVAC!$E24="High Eff. Heat Pump Unit",IF(HVAC!$G24&lt;References!$T$121,References!$M$121,IF(AND(HVAC!$G24&lt;References!$T$122,HVAC!$G24&gt;References!$S$122),References!$M$122,IF(AND(HVAC!$G24&lt;References!$T$123,HVAC!$G24&gt;References!$S$123),References!$M$123,IF(HVAC!$G24&gt;References!$S$124,References!$M$124,"")))))</f>
        <v>0</v>
      </c>
      <c r="F22" s="160" t="b">
        <f>IF(HVAC!$E24="High Eff. Heat Pump Unit",IF(HVAC!$G24&lt;References!$T$121,References!$N$121,IF(AND(HVAC!$G24&lt;References!$T$122,HVAC!$G24&gt;References!$S$122),References!$N$122,IF(AND(HVAC!$G24&lt;References!$T$123,HVAC!$G24&gt;References!$S$123),References!$N$123,IF(HVAC!$G24&gt;References!$S$124,References!$N$124,"")))))</f>
        <v>0</v>
      </c>
      <c r="H22" s="224">
        <f>IF(HVAC!$E24="High Eff. AC Unit",HVAC!$G24*References!$K$4*((1/'HVAC Calcs'!$D22)-(1/HVAC!$I24)),IF(HVAC!$E24="High Eff. Heat Pump Unit",HVAC!$G24*References!$K$5*((1/'HVAC Calcs'!$E22)-(1/HVAC!$I24))+HVAC!$G24*References!$N$5*((1/'HVAC Calcs'!$F22)-(1/HVAC!$J24)),0))</f>
        <v>0</v>
      </c>
      <c r="I22" s="225" t="b">
        <f>IF(HVAC!$E24="High Eff. AC Unit",HVAC!$G24*References!$L$4*((1/'HVAC Calcs'!$B22)-(1/HVAC!$H24)),IF(HVAC!$E24="High Eff. Heat Pump Unit",HVAC!$G24*References!$L$5*((1/'HVAC Calcs'!$C22)-(1/HVAC!$H24))))</f>
        <v>0</v>
      </c>
    </row>
    <row r="23" spans="1:9" ht="15" x14ac:dyDescent="0.25">
      <c r="A23">
        <v>21</v>
      </c>
      <c r="B23" s="160" t="b">
        <f>IF(HVAC!$E25="High Eff. AC Unit",IF(HVAC!$G25&lt;References!$T$116,References!$L$116,IF(AND(HVAC!$G25&lt;References!$T$117,HVAC!$G25&gt;References!$S$117),References!$L$117,IF(AND(HVAC!$G25&lt;References!$T$118,HVAC!$G25&gt;References!$S$118),References!$L$118,IF(AND(HVAC!$G25&lt;References!$T$119,HVAC!$G25&gt;References!$S$119),References!$L$119,IF(HVAC!$G25&gt;References!$S$120,References!$L$120,""))))))</f>
        <v>0</v>
      </c>
      <c r="C23" s="160" t="b">
        <f>IF(HVAC!$E25="High Eff. Heat Pump Unit",IF(HVAC!$G25&lt;References!$T$121,References!$L$121,IF(AND(HVAC!$G25&lt;References!$T$122,HVAC!$G25&gt;References!$S$122),References!$L$122,IF(AND(HVAC!$G25&lt;References!$T$123,HVAC!$G25&gt;References!$S$123),References!$L$123,IF(HVAC!$G25&gt;References!$S$124,References!$L$124,"")))))</f>
        <v>0</v>
      </c>
      <c r="D23" s="160" t="b">
        <f>IF(HVAC!$E25="High Eff. AC Unit",IF(HVAC!$G25&lt;References!$T$116,References!$M$116,IF(AND(HVAC!$G25&lt;References!$T$117,HVAC!$G25&gt;References!$S$117),References!$M$117,IF(AND(HVAC!$G25&lt;References!$T$118,HVAC!$G25&gt;References!$S$118),References!$M$118,IF(AND(HVAC!$G25&lt;References!$T$119,HVAC!$G25&gt;References!$S$119),References!$M$119,IF(HVAC!$G25&gt;References!$S$120,References!$M$120,""))))))</f>
        <v>0</v>
      </c>
      <c r="E23" s="160" t="b">
        <f>IF(HVAC!$E25="High Eff. Heat Pump Unit",IF(HVAC!$G25&lt;References!$T$121,References!$M$121,IF(AND(HVAC!$G25&lt;References!$T$122,HVAC!$G25&gt;References!$S$122),References!$M$122,IF(AND(HVAC!$G25&lt;References!$T$123,HVAC!$G25&gt;References!$S$123),References!$M$123,IF(HVAC!$G25&gt;References!$S$124,References!$M$124,"")))))</f>
        <v>0</v>
      </c>
      <c r="F23" s="160" t="b">
        <f>IF(HVAC!$E25="High Eff. Heat Pump Unit",IF(HVAC!$G25&lt;References!$T$121,References!$N$121,IF(AND(HVAC!$G25&lt;References!$T$122,HVAC!$G25&gt;References!$S$122),References!$N$122,IF(AND(HVAC!$G25&lt;References!$T$123,HVAC!$G25&gt;References!$S$123),References!$N$123,IF(HVAC!$G25&gt;References!$S$124,References!$N$124,"")))))</f>
        <v>0</v>
      </c>
      <c r="H23" s="224">
        <f>IF(HVAC!$E25="High Eff. AC Unit",HVAC!$G25*References!$K$4*((1/'HVAC Calcs'!$D23)-(1/HVAC!$I25)),IF(HVAC!$E25="High Eff. Heat Pump Unit",HVAC!$G25*References!$K$5*((1/'HVAC Calcs'!$E23)-(1/HVAC!$I25))+HVAC!$G25*References!$N$5*((1/'HVAC Calcs'!$F23)-(1/HVAC!$J25)),0))</f>
        <v>0</v>
      </c>
      <c r="I23" s="225" t="b">
        <f>IF(HVAC!$E25="High Eff. AC Unit",HVAC!$G25*References!$L$4*((1/'HVAC Calcs'!$B23)-(1/HVAC!$H25)),IF(HVAC!$E25="High Eff. Heat Pump Unit",HVAC!$G25*References!$L$5*((1/'HVAC Calcs'!$C23)-(1/HVAC!$H25))))</f>
        <v>0</v>
      </c>
    </row>
    <row r="24" spans="1:9" ht="15" x14ac:dyDescent="0.25">
      <c r="A24">
        <v>22</v>
      </c>
      <c r="B24" s="160" t="b">
        <f>IF(HVAC!$E26="High Eff. AC Unit",IF(HVAC!$G26&lt;References!$T$116,References!$L$116,IF(AND(HVAC!$G26&lt;References!$T$117,HVAC!$G26&gt;References!$S$117),References!$L$117,IF(AND(HVAC!$G26&lt;References!$T$118,HVAC!$G26&gt;References!$S$118),References!$L$118,IF(AND(HVAC!$G26&lt;References!$T$119,HVAC!$G26&gt;References!$S$119),References!$L$119,IF(HVAC!$G26&gt;References!$S$120,References!$L$120,""))))))</f>
        <v>0</v>
      </c>
      <c r="C24" s="160" t="b">
        <f>IF(HVAC!$E26="High Eff. Heat Pump Unit",IF(HVAC!$G26&lt;References!$T$121,References!$L$121,IF(AND(HVAC!$G26&lt;References!$T$122,HVAC!$G26&gt;References!$S$122),References!$L$122,IF(AND(HVAC!$G26&lt;References!$T$123,HVAC!$G26&gt;References!$S$123),References!$L$123,IF(HVAC!$G26&gt;References!$S$124,References!$L$124,"")))))</f>
        <v>0</v>
      </c>
      <c r="D24" s="160" t="b">
        <f>IF(HVAC!$E26="High Eff. AC Unit",IF(HVAC!$G26&lt;References!$T$116,References!$M$116,IF(AND(HVAC!$G26&lt;References!$T$117,HVAC!$G26&gt;References!$S$117),References!$M$117,IF(AND(HVAC!$G26&lt;References!$T$118,HVAC!$G26&gt;References!$S$118),References!$M$118,IF(AND(HVAC!$G26&lt;References!$T$119,HVAC!$G26&gt;References!$S$119),References!$M$119,IF(HVAC!$G26&gt;References!$S$120,References!$M$120,""))))))</f>
        <v>0</v>
      </c>
      <c r="E24" s="160" t="b">
        <f>IF(HVAC!$E26="High Eff. Heat Pump Unit",IF(HVAC!$G26&lt;References!$T$121,References!$M$121,IF(AND(HVAC!$G26&lt;References!$T$122,HVAC!$G26&gt;References!$S$122),References!$M$122,IF(AND(HVAC!$G26&lt;References!$T$123,HVAC!$G26&gt;References!$S$123),References!$M$123,IF(HVAC!$G26&gt;References!$S$124,References!$M$124,"")))))</f>
        <v>0</v>
      </c>
      <c r="F24" s="160" t="b">
        <f>IF(HVAC!$E26="High Eff. Heat Pump Unit",IF(HVAC!$G26&lt;References!$T$121,References!$N$121,IF(AND(HVAC!$G26&lt;References!$T$122,HVAC!$G26&gt;References!$S$122),References!$N$122,IF(AND(HVAC!$G26&lt;References!$T$123,HVAC!$G26&gt;References!$S$123),References!$N$123,IF(HVAC!$G26&gt;References!$S$124,References!$N$124,"")))))</f>
        <v>0</v>
      </c>
      <c r="H24" s="224">
        <f>IF(HVAC!$E26="High Eff. AC Unit",HVAC!$G26*References!$K$4*((1/'HVAC Calcs'!$D24)-(1/HVAC!$I26)),IF(HVAC!$E26="High Eff. Heat Pump Unit",HVAC!$G26*References!$K$5*((1/'HVAC Calcs'!$E24)-(1/HVAC!$I26))+HVAC!$G26*References!$N$5*((1/'HVAC Calcs'!$F24)-(1/HVAC!$J26)),0))</f>
        <v>0</v>
      </c>
      <c r="I24" s="225" t="b">
        <f>IF(HVAC!$E26="High Eff. AC Unit",HVAC!$G26*References!$L$4*((1/'HVAC Calcs'!$B24)-(1/HVAC!$H26)),IF(HVAC!$E26="High Eff. Heat Pump Unit",HVAC!$G26*References!$L$5*((1/'HVAC Calcs'!$C24)-(1/HVAC!$H26))))</f>
        <v>0</v>
      </c>
    </row>
    <row r="25" spans="1:9" ht="15" x14ac:dyDescent="0.25">
      <c r="A25">
        <v>23</v>
      </c>
      <c r="B25" s="160" t="b">
        <f>IF(HVAC!$E27="High Eff. AC Unit",IF(HVAC!$G27&lt;References!$T$116,References!$L$116,IF(AND(HVAC!$G27&lt;References!$T$117,HVAC!$G27&gt;References!$S$117),References!$L$117,IF(AND(HVAC!$G27&lt;References!$T$118,HVAC!$G27&gt;References!$S$118),References!$L$118,IF(AND(HVAC!$G27&lt;References!$T$119,HVAC!$G27&gt;References!$S$119),References!$L$119,IF(HVAC!$G27&gt;References!$S$120,References!$L$120,""))))))</f>
        <v>0</v>
      </c>
      <c r="C25" s="160" t="b">
        <f>IF(HVAC!$E27="High Eff. Heat Pump Unit",IF(HVAC!$G27&lt;References!$T$121,References!$L$121,IF(AND(HVAC!$G27&lt;References!$T$122,HVAC!$G27&gt;References!$S$122),References!$L$122,IF(AND(HVAC!$G27&lt;References!$T$123,HVAC!$G27&gt;References!$S$123),References!$L$123,IF(HVAC!$G27&gt;References!$S$124,References!$L$124,"")))))</f>
        <v>0</v>
      </c>
      <c r="D25" s="160" t="b">
        <f>IF(HVAC!$E27="High Eff. AC Unit",IF(HVAC!$G27&lt;References!$T$116,References!$M$116,IF(AND(HVAC!$G27&lt;References!$T$117,HVAC!$G27&gt;References!$S$117),References!$M$117,IF(AND(HVAC!$G27&lt;References!$T$118,HVAC!$G27&gt;References!$S$118),References!$M$118,IF(AND(HVAC!$G27&lt;References!$T$119,HVAC!$G27&gt;References!$S$119),References!$M$119,IF(HVAC!$G27&gt;References!$S$120,References!$M$120,""))))))</f>
        <v>0</v>
      </c>
      <c r="E25" s="160" t="b">
        <f>IF(HVAC!$E27="High Eff. Heat Pump Unit",IF(HVAC!$G27&lt;References!$T$121,References!$M$121,IF(AND(HVAC!$G27&lt;References!$T$122,HVAC!$G27&gt;References!$S$122),References!$M$122,IF(AND(HVAC!$G27&lt;References!$T$123,HVAC!$G27&gt;References!$S$123),References!$M$123,IF(HVAC!$G27&gt;References!$S$124,References!$M$124,"")))))</f>
        <v>0</v>
      </c>
      <c r="F25" s="160" t="b">
        <f>IF(HVAC!$E27="High Eff. Heat Pump Unit",IF(HVAC!$G27&lt;References!$T$121,References!$N$121,IF(AND(HVAC!$G27&lt;References!$T$122,HVAC!$G27&gt;References!$S$122),References!$N$122,IF(AND(HVAC!$G27&lt;References!$T$123,HVAC!$G27&gt;References!$S$123),References!$N$123,IF(HVAC!$G27&gt;References!$S$124,References!$N$124,"")))))</f>
        <v>0</v>
      </c>
      <c r="H25" s="224">
        <f>IF(HVAC!$E27="High Eff. AC Unit",HVAC!$G27*References!$K$4*((1/'HVAC Calcs'!$D25)-(1/HVAC!$I27)),IF(HVAC!$E27="High Eff. Heat Pump Unit",HVAC!$G27*References!$K$5*((1/'HVAC Calcs'!$E25)-(1/HVAC!$I27))+HVAC!$G27*References!$N$5*((1/'HVAC Calcs'!$F25)-(1/HVAC!$J27)),0))</f>
        <v>0</v>
      </c>
      <c r="I25" s="225" t="b">
        <f>IF(HVAC!$E27="High Eff. AC Unit",HVAC!$G27*References!$L$4*((1/'HVAC Calcs'!$B25)-(1/HVAC!$H27)),IF(HVAC!$E27="High Eff. Heat Pump Unit",HVAC!$G27*References!$L$5*((1/'HVAC Calcs'!$C25)-(1/HVAC!$H27))))</f>
        <v>0</v>
      </c>
    </row>
    <row r="26" spans="1:9" ht="15" x14ac:dyDescent="0.25">
      <c r="A26">
        <v>24</v>
      </c>
      <c r="B26" s="160" t="b">
        <f>IF(HVAC!$E28="High Eff. AC Unit",IF(HVAC!$G28&lt;References!$T$116,References!$L$116,IF(AND(HVAC!$G28&lt;References!$T$117,HVAC!$G28&gt;References!$S$117),References!$L$117,IF(AND(HVAC!$G28&lt;References!$T$118,HVAC!$G28&gt;References!$S$118),References!$L$118,IF(AND(HVAC!$G28&lt;References!$T$119,HVAC!$G28&gt;References!$S$119),References!$L$119,IF(HVAC!$G28&gt;References!$S$120,References!$L$120,""))))))</f>
        <v>0</v>
      </c>
      <c r="C26" s="160" t="b">
        <f>IF(HVAC!$E28="High Eff. Heat Pump Unit",IF(HVAC!$G28&lt;References!$T$121,References!$L$121,IF(AND(HVAC!$G28&lt;References!$T$122,HVAC!$G28&gt;References!$S$122),References!$L$122,IF(AND(HVAC!$G28&lt;References!$T$123,HVAC!$G28&gt;References!$S$123),References!$L$123,IF(HVAC!$G28&gt;References!$S$124,References!$L$124,"")))))</f>
        <v>0</v>
      </c>
      <c r="D26" s="160" t="b">
        <f>IF(HVAC!$E28="High Eff. AC Unit",IF(HVAC!$G28&lt;References!$T$116,References!$M$116,IF(AND(HVAC!$G28&lt;References!$T$117,HVAC!$G28&gt;References!$S$117),References!$M$117,IF(AND(HVAC!$G28&lt;References!$T$118,HVAC!$G28&gt;References!$S$118),References!$M$118,IF(AND(HVAC!$G28&lt;References!$T$119,HVAC!$G28&gt;References!$S$119),References!$M$119,IF(HVAC!$G28&gt;References!$S$120,References!$M$120,""))))))</f>
        <v>0</v>
      </c>
      <c r="E26" s="160" t="b">
        <f>IF(HVAC!$E28="High Eff. Heat Pump Unit",IF(HVAC!$G28&lt;References!$T$121,References!$M$121,IF(AND(HVAC!$G28&lt;References!$T$122,HVAC!$G28&gt;References!$S$122),References!$M$122,IF(AND(HVAC!$G28&lt;References!$T$123,HVAC!$G28&gt;References!$S$123),References!$M$123,IF(HVAC!$G28&gt;References!$S$124,References!$M$124,"")))))</f>
        <v>0</v>
      </c>
      <c r="F26" s="160" t="b">
        <f>IF(HVAC!$E28="High Eff. Heat Pump Unit",IF(HVAC!$G28&lt;References!$T$121,References!$N$121,IF(AND(HVAC!$G28&lt;References!$T$122,HVAC!$G28&gt;References!$S$122),References!$N$122,IF(AND(HVAC!$G28&lt;References!$T$123,HVAC!$G28&gt;References!$S$123),References!$N$123,IF(HVAC!$G28&gt;References!$S$124,References!$N$124,"")))))</f>
        <v>0</v>
      </c>
      <c r="H26" s="224">
        <f>IF(HVAC!$E28="High Eff. AC Unit",HVAC!$G28*References!$K$4*((1/'HVAC Calcs'!$D26)-(1/HVAC!$I28)),IF(HVAC!$E28="High Eff. Heat Pump Unit",HVAC!$G28*References!$K$5*((1/'HVAC Calcs'!$E26)-(1/HVAC!$I28))+HVAC!$G28*References!$N$5*((1/'HVAC Calcs'!$F26)-(1/HVAC!$J28)),0))</f>
        <v>0</v>
      </c>
      <c r="I26" s="225" t="b">
        <f>IF(HVAC!$E28="High Eff. AC Unit",HVAC!$G28*References!$L$4*((1/'HVAC Calcs'!$B26)-(1/HVAC!$H28)),IF(HVAC!$E28="High Eff. Heat Pump Unit",HVAC!$G28*References!$L$5*((1/'HVAC Calcs'!$C26)-(1/HVAC!$H28))))</f>
        <v>0</v>
      </c>
    </row>
    <row r="27" spans="1:9" ht="15" x14ac:dyDescent="0.25">
      <c r="A27">
        <v>25</v>
      </c>
      <c r="B27" s="160" t="b">
        <f>IF(HVAC!$E29="High Eff. AC Unit",IF(HVAC!$G29&lt;References!$T$116,References!$L$116,IF(AND(HVAC!$G29&lt;References!$T$117,HVAC!$G29&gt;References!$S$117),References!$L$117,IF(AND(HVAC!$G29&lt;References!$T$118,HVAC!$G29&gt;References!$S$118),References!$L$118,IF(AND(HVAC!$G29&lt;References!$T$119,HVAC!$G29&gt;References!$S$119),References!$L$119,IF(HVAC!$G29&gt;References!$S$120,References!$L$120,""))))))</f>
        <v>0</v>
      </c>
      <c r="C27" s="160" t="b">
        <f>IF(HVAC!$E29="High Eff. Heat Pump Unit",IF(HVAC!$G29&lt;References!$T$121,References!$L$121,IF(AND(HVAC!$G29&lt;References!$T$122,HVAC!$G29&gt;References!$S$122),References!$L$122,IF(AND(HVAC!$G29&lt;References!$T$123,HVAC!$G29&gt;References!$S$123),References!$L$123,IF(HVAC!$G29&gt;References!$S$124,References!$L$124,"")))))</f>
        <v>0</v>
      </c>
      <c r="D27" s="160" t="b">
        <f>IF(HVAC!$E29="High Eff. AC Unit",IF(HVAC!$G29&lt;References!$T$116,References!$M$116,IF(AND(HVAC!$G29&lt;References!$T$117,HVAC!$G29&gt;References!$S$117),References!$M$117,IF(AND(HVAC!$G29&lt;References!$T$118,HVAC!$G29&gt;References!$S$118),References!$M$118,IF(AND(HVAC!$G29&lt;References!$T$119,HVAC!$G29&gt;References!$S$119),References!$M$119,IF(HVAC!$G29&gt;References!$S$120,References!$M$120,""))))))</f>
        <v>0</v>
      </c>
      <c r="E27" s="160" t="b">
        <f>IF(HVAC!$E29="High Eff. Heat Pump Unit",IF(HVAC!$G29&lt;References!$T$121,References!$M$121,IF(AND(HVAC!$G29&lt;References!$T$122,HVAC!$G29&gt;References!$S$122),References!$M$122,IF(AND(HVAC!$G29&lt;References!$T$123,HVAC!$G29&gt;References!$S$123),References!$M$123,IF(HVAC!$G29&gt;References!$S$124,References!$M$124,"")))))</f>
        <v>0</v>
      </c>
      <c r="F27" s="160" t="b">
        <f>IF(HVAC!$E29="High Eff. Heat Pump Unit",IF(HVAC!$G29&lt;References!$T$121,References!$N$121,IF(AND(HVAC!$G29&lt;References!$T$122,HVAC!$G29&gt;References!$S$122),References!$N$122,IF(AND(HVAC!$G29&lt;References!$T$123,HVAC!$G29&gt;References!$S$123),References!$N$123,IF(HVAC!$G29&gt;References!$S$124,References!$N$124,"")))))</f>
        <v>0</v>
      </c>
      <c r="H27" s="224">
        <f>IF(HVAC!$E29="High Eff. AC Unit",HVAC!$G29*References!$K$4*((1/'HVAC Calcs'!$D27)-(1/HVAC!$I29)),IF(HVAC!$E29="High Eff. Heat Pump Unit",HVAC!$G29*References!$K$5*((1/'HVAC Calcs'!$E27)-(1/HVAC!$I29))+HVAC!$G29*References!$N$5*((1/'HVAC Calcs'!$F27)-(1/HVAC!$J29)),0))</f>
        <v>0</v>
      </c>
      <c r="I27" s="225" t="b">
        <f>IF(HVAC!$E29="High Eff. AC Unit",HVAC!$G29*References!$L$4*((1/'HVAC Calcs'!$B27)-(1/HVAC!$H29)),IF(HVAC!$E29="High Eff. Heat Pump Unit",HVAC!$G29*References!$L$5*((1/'HVAC Calcs'!$C27)-(1/HVAC!$H29))))</f>
        <v>0</v>
      </c>
    </row>
    <row r="28" spans="1:9" ht="15" x14ac:dyDescent="0.25">
      <c r="A28">
        <v>26</v>
      </c>
      <c r="B28" s="160" t="b">
        <f>IF(HVAC!$E30="High Eff. AC Unit",IF(HVAC!$G30&lt;References!$T$116,References!$L$116,IF(AND(HVAC!$G30&lt;References!$T$117,HVAC!$G30&gt;References!$S$117),References!$L$117,IF(AND(HVAC!$G30&lt;References!$T$118,HVAC!$G30&gt;References!$S$118),References!$L$118,IF(AND(HVAC!$G30&lt;References!$T$119,HVAC!$G30&gt;References!$S$119),References!$L$119,IF(HVAC!$G30&gt;References!$S$120,References!$L$120,""))))))</f>
        <v>0</v>
      </c>
      <c r="C28" s="160" t="b">
        <f>IF(HVAC!$E30="High Eff. Heat Pump Unit",IF(HVAC!$G30&lt;References!$T$121,References!$L$121,IF(AND(HVAC!$G30&lt;References!$T$122,HVAC!$G30&gt;References!$S$122),References!$L$122,IF(AND(HVAC!$G30&lt;References!$T$123,HVAC!$G30&gt;References!$S$123),References!$L$123,IF(HVAC!$G30&gt;References!$S$124,References!$L$124,"")))))</f>
        <v>0</v>
      </c>
      <c r="D28" s="160" t="b">
        <f>IF(HVAC!$E30="High Eff. AC Unit",IF(HVAC!$G30&lt;References!$T$116,References!$M$116,IF(AND(HVAC!$G30&lt;References!$T$117,HVAC!$G30&gt;References!$S$117),References!$M$117,IF(AND(HVAC!$G30&lt;References!$T$118,HVAC!$G30&gt;References!$S$118),References!$M$118,IF(AND(HVAC!$G30&lt;References!$T$119,HVAC!$G30&gt;References!$S$119),References!$M$119,IF(HVAC!$G30&gt;References!$S$120,References!$M$120,""))))))</f>
        <v>0</v>
      </c>
      <c r="E28" s="160" t="b">
        <f>IF(HVAC!$E30="High Eff. Heat Pump Unit",IF(HVAC!$G30&lt;References!$T$121,References!$M$121,IF(AND(HVAC!$G30&lt;References!$T$122,HVAC!$G30&gt;References!$S$122),References!$M$122,IF(AND(HVAC!$G30&lt;References!$T$123,HVAC!$G30&gt;References!$S$123),References!$M$123,IF(HVAC!$G30&gt;References!$S$124,References!$M$124,"")))))</f>
        <v>0</v>
      </c>
      <c r="F28" s="160" t="b">
        <f>IF(HVAC!$E30="High Eff. Heat Pump Unit",IF(HVAC!$G30&lt;References!$T$121,References!$N$121,IF(AND(HVAC!$G30&lt;References!$T$122,HVAC!$G30&gt;References!$S$122),References!$N$122,IF(AND(HVAC!$G30&lt;References!$T$123,HVAC!$G30&gt;References!$S$123),References!$N$123,IF(HVAC!$G30&gt;References!$S$124,References!$N$124,"")))))</f>
        <v>0</v>
      </c>
      <c r="H28" s="224">
        <f>IF(HVAC!$E30="High Eff. AC Unit",HVAC!$G30*References!$K$4*((1/'HVAC Calcs'!$D28)-(1/HVAC!$I30)),IF(HVAC!$E30="High Eff. Heat Pump Unit",HVAC!$G30*References!$K$5*((1/'HVAC Calcs'!$E28)-(1/HVAC!$I30))+HVAC!$G30*References!$N$5*((1/'HVAC Calcs'!$F28)-(1/HVAC!$J30)),0))</f>
        <v>0</v>
      </c>
      <c r="I28" s="225" t="b">
        <f>IF(HVAC!$E30="High Eff. AC Unit",HVAC!$G30*References!$L$4*((1/'HVAC Calcs'!$B28)-(1/HVAC!$H30)),IF(HVAC!$E30="High Eff. Heat Pump Unit",HVAC!$G30*References!$L$5*((1/'HVAC Calcs'!$C28)-(1/HVAC!$H30))))</f>
        <v>0</v>
      </c>
    </row>
    <row r="29" spans="1:9" ht="15" x14ac:dyDescent="0.25">
      <c r="A29">
        <v>27</v>
      </c>
      <c r="B29" s="160" t="b">
        <f>IF(HVAC!$E31="High Eff. AC Unit",IF(HVAC!$G31&lt;References!$T$116,References!$L$116,IF(AND(HVAC!$G31&lt;References!$T$117,HVAC!$G31&gt;References!$S$117),References!$L$117,IF(AND(HVAC!$G31&lt;References!$T$118,HVAC!$G31&gt;References!$S$118),References!$L$118,IF(AND(HVAC!$G31&lt;References!$T$119,HVAC!$G31&gt;References!$S$119),References!$L$119,IF(HVAC!$G31&gt;References!$S$120,References!$L$120,""))))))</f>
        <v>0</v>
      </c>
      <c r="C29" s="160" t="b">
        <f>IF(HVAC!$E31="High Eff. Heat Pump Unit",IF(HVAC!$G31&lt;References!$T$121,References!$L$121,IF(AND(HVAC!$G31&lt;References!$T$122,HVAC!$G31&gt;References!$S$122),References!$L$122,IF(AND(HVAC!$G31&lt;References!$T$123,HVAC!$G31&gt;References!$S$123),References!$L$123,IF(HVAC!$G31&gt;References!$S$124,References!$L$124,"")))))</f>
        <v>0</v>
      </c>
      <c r="D29" s="160" t="b">
        <f>IF(HVAC!$E31="High Eff. AC Unit",IF(HVAC!$G31&lt;References!$T$116,References!$M$116,IF(AND(HVAC!$G31&lt;References!$T$117,HVAC!$G31&gt;References!$S$117),References!$M$117,IF(AND(HVAC!$G31&lt;References!$T$118,HVAC!$G31&gt;References!$S$118),References!$M$118,IF(AND(HVAC!$G31&lt;References!$T$119,HVAC!$G31&gt;References!$S$119),References!$M$119,IF(HVAC!$G31&gt;References!$S$120,References!$M$120,""))))))</f>
        <v>0</v>
      </c>
      <c r="E29" s="160" t="b">
        <f>IF(HVAC!$E31="High Eff. Heat Pump Unit",IF(HVAC!$G31&lt;References!$T$121,References!$M$121,IF(AND(HVAC!$G31&lt;References!$T$122,HVAC!$G31&gt;References!$S$122),References!$M$122,IF(AND(HVAC!$G31&lt;References!$T$123,HVAC!$G31&gt;References!$S$123),References!$M$123,IF(HVAC!$G31&gt;References!$S$124,References!$M$124,"")))))</f>
        <v>0</v>
      </c>
      <c r="F29" s="160" t="b">
        <f>IF(HVAC!$E31="High Eff. Heat Pump Unit",IF(HVAC!$G31&lt;References!$T$121,References!$N$121,IF(AND(HVAC!$G31&lt;References!$T$122,HVAC!$G31&gt;References!$S$122),References!$N$122,IF(AND(HVAC!$G31&lt;References!$T$123,HVAC!$G31&gt;References!$S$123),References!$N$123,IF(HVAC!$G31&gt;References!$S$124,References!$N$124,"")))))</f>
        <v>0</v>
      </c>
      <c r="H29" s="224">
        <f>IF(HVAC!$E31="High Eff. AC Unit",HVAC!$G31*References!$K$4*((1/'HVAC Calcs'!$D29)-(1/HVAC!$I31)),IF(HVAC!$E31="High Eff. Heat Pump Unit",HVAC!$G31*References!$K$5*((1/'HVAC Calcs'!$E29)-(1/HVAC!$I31))+HVAC!$G31*References!$N$5*((1/'HVAC Calcs'!$F29)-(1/HVAC!$J31)),0))</f>
        <v>0</v>
      </c>
      <c r="I29" s="225" t="b">
        <f>IF(HVAC!$E31="High Eff. AC Unit",HVAC!$G31*References!$L$4*((1/'HVAC Calcs'!$B29)-(1/HVAC!$H31)),IF(HVAC!$E31="High Eff. Heat Pump Unit",HVAC!$G31*References!$L$5*((1/'HVAC Calcs'!$C29)-(1/HVAC!$H31))))</f>
        <v>0</v>
      </c>
    </row>
    <row r="30" spans="1:9" ht="15" x14ac:dyDescent="0.25">
      <c r="A30">
        <v>28</v>
      </c>
      <c r="B30" s="160" t="b">
        <f>IF(HVAC!$E32="High Eff. AC Unit",IF(HVAC!$G32&lt;References!$T$116,References!$L$116,IF(AND(HVAC!$G32&lt;References!$T$117,HVAC!$G32&gt;References!$S$117),References!$L$117,IF(AND(HVAC!$G32&lt;References!$T$118,HVAC!$G32&gt;References!$S$118),References!$L$118,IF(AND(HVAC!$G32&lt;References!$T$119,HVAC!$G32&gt;References!$S$119),References!$L$119,IF(HVAC!$G32&gt;References!$S$120,References!$L$120,""))))))</f>
        <v>0</v>
      </c>
      <c r="C30" s="160" t="b">
        <f>IF(HVAC!$E32="High Eff. Heat Pump Unit",IF(HVAC!$G32&lt;References!$T$121,References!$L$121,IF(AND(HVAC!$G32&lt;References!$T$122,HVAC!$G32&gt;References!$S$122),References!$L$122,IF(AND(HVAC!$G32&lt;References!$T$123,HVAC!$G32&gt;References!$S$123),References!$L$123,IF(HVAC!$G32&gt;References!$S$124,References!$L$124,"")))))</f>
        <v>0</v>
      </c>
      <c r="D30" s="160" t="b">
        <f>IF(HVAC!$E32="High Eff. AC Unit",IF(HVAC!$G32&lt;References!$T$116,References!$M$116,IF(AND(HVAC!$G32&lt;References!$T$117,HVAC!$G32&gt;References!$S$117),References!$M$117,IF(AND(HVAC!$G32&lt;References!$T$118,HVAC!$G32&gt;References!$S$118),References!$M$118,IF(AND(HVAC!$G32&lt;References!$T$119,HVAC!$G32&gt;References!$S$119),References!$M$119,IF(HVAC!$G32&gt;References!$S$120,References!$M$120,""))))))</f>
        <v>0</v>
      </c>
      <c r="E30" s="160" t="b">
        <f>IF(HVAC!$E32="High Eff. Heat Pump Unit",IF(HVAC!$G32&lt;References!$T$121,References!$M$121,IF(AND(HVAC!$G32&lt;References!$T$122,HVAC!$G32&gt;References!$S$122),References!$M$122,IF(AND(HVAC!$G32&lt;References!$T$123,HVAC!$G32&gt;References!$S$123),References!$M$123,IF(HVAC!$G32&gt;References!$S$124,References!$M$124,"")))))</f>
        <v>0</v>
      </c>
      <c r="F30" s="160" t="b">
        <f>IF(HVAC!$E32="High Eff. Heat Pump Unit",IF(HVAC!$G32&lt;References!$T$121,References!$N$121,IF(AND(HVAC!$G32&lt;References!$T$122,HVAC!$G32&gt;References!$S$122),References!$N$122,IF(AND(HVAC!$G32&lt;References!$T$123,HVAC!$G32&gt;References!$S$123),References!$N$123,IF(HVAC!$G32&gt;References!$S$124,References!$N$124,"")))))</f>
        <v>0</v>
      </c>
      <c r="H30" s="224">
        <f>IF(HVAC!$E32="High Eff. AC Unit",HVAC!$G32*References!$K$4*((1/'HVAC Calcs'!$D30)-(1/HVAC!$I32)),IF(HVAC!$E32="High Eff. Heat Pump Unit",HVAC!$G32*References!$K$5*((1/'HVAC Calcs'!$E30)-(1/HVAC!$I32))+HVAC!$G32*References!$N$5*((1/'HVAC Calcs'!$F30)-(1/HVAC!$J32)),0))</f>
        <v>0</v>
      </c>
      <c r="I30" s="225" t="b">
        <f>IF(HVAC!$E32="High Eff. AC Unit",HVAC!$G32*References!$L$4*((1/'HVAC Calcs'!$B30)-(1/HVAC!$H32)),IF(HVAC!$E32="High Eff. Heat Pump Unit",HVAC!$G32*References!$L$5*((1/'HVAC Calcs'!$C30)-(1/HVAC!$H32))))</f>
        <v>0</v>
      </c>
    </row>
    <row r="31" spans="1:9" ht="15" x14ac:dyDescent="0.25">
      <c r="A31">
        <v>29</v>
      </c>
      <c r="B31" s="160" t="b">
        <f>IF(HVAC!$E33="High Eff. AC Unit",IF(HVAC!$G33&lt;References!$T$116,References!$L$116,IF(AND(HVAC!$G33&lt;References!$T$117,HVAC!$G33&gt;References!$S$117),References!$L$117,IF(AND(HVAC!$G33&lt;References!$T$118,HVAC!$G33&gt;References!$S$118),References!$L$118,IF(AND(HVAC!$G33&lt;References!$T$119,HVAC!$G33&gt;References!$S$119),References!$L$119,IF(HVAC!$G33&gt;References!$S$120,References!$L$120,""))))))</f>
        <v>0</v>
      </c>
      <c r="C31" s="160" t="b">
        <f>IF(HVAC!$E33="High Eff. Heat Pump Unit",IF(HVAC!$G33&lt;References!$T$121,References!$L$121,IF(AND(HVAC!$G33&lt;References!$T$122,HVAC!$G33&gt;References!$S$122),References!$L$122,IF(AND(HVAC!$G33&lt;References!$T$123,HVAC!$G33&gt;References!$S$123),References!$L$123,IF(HVAC!$G33&gt;References!$S$124,References!$L$124,"")))))</f>
        <v>0</v>
      </c>
      <c r="D31" s="160" t="b">
        <f>IF(HVAC!$E33="High Eff. AC Unit",IF(HVAC!$G33&lt;References!$T$116,References!$M$116,IF(AND(HVAC!$G33&lt;References!$T$117,HVAC!$G33&gt;References!$S$117),References!$M$117,IF(AND(HVAC!$G33&lt;References!$T$118,HVAC!$G33&gt;References!$S$118),References!$M$118,IF(AND(HVAC!$G33&lt;References!$T$119,HVAC!$G33&gt;References!$S$119),References!$M$119,IF(HVAC!$G33&gt;References!$S$120,References!$M$120,""))))))</f>
        <v>0</v>
      </c>
      <c r="E31" s="160" t="b">
        <f>IF(HVAC!$E33="High Eff. Heat Pump Unit",IF(HVAC!$G33&lt;References!$T$121,References!$M$121,IF(AND(HVAC!$G33&lt;References!$T$122,HVAC!$G33&gt;References!$S$122),References!$M$122,IF(AND(HVAC!$G33&lt;References!$T$123,HVAC!$G33&gt;References!$S$123),References!$M$123,IF(HVAC!$G33&gt;References!$S$124,References!$M$124,"")))))</f>
        <v>0</v>
      </c>
      <c r="F31" s="160" t="b">
        <f>IF(HVAC!$E33="High Eff. Heat Pump Unit",IF(HVAC!$G33&lt;References!$T$121,References!$N$121,IF(AND(HVAC!$G33&lt;References!$T$122,HVAC!$G33&gt;References!$S$122),References!$N$122,IF(AND(HVAC!$G33&lt;References!$T$123,HVAC!$G33&gt;References!$S$123),References!$N$123,IF(HVAC!$G33&gt;References!$S$124,References!$N$124,"")))))</f>
        <v>0</v>
      </c>
      <c r="H31" s="224">
        <f>IF(HVAC!$E33="High Eff. AC Unit",HVAC!$G33*References!$K$4*((1/'HVAC Calcs'!$D31)-(1/HVAC!$I33)),IF(HVAC!$E33="High Eff. Heat Pump Unit",HVAC!$G33*References!$K$5*((1/'HVAC Calcs'!$E31)-(1/HVAC!$I33))+HVAC!$G33*References!$N$5*((1/'HVAC Calcs'!$F31)-(1/HVAC!$J33)),0))</f>
        <v>0</v>
      </c>
      <c r="I31" s="225" t="b">
        <f>IF(HVAC!$E33="High Eff. AC Unit",HVAC!$G33*References!$L$4*((1/'HVAC Calcs'!$B31)-(1/HVAC!$H33)),IF(HVAC!$E33="High Eff. Heat Pump Unit",HVAC!$G33*References!$L$5*((1/'HVAC Calcs'!$C31)-(1/HVAC!$H33))))</f>
        <v>0</v>
      </c>
    </row>
    <row r="32" spans="1:9" ht="15" x14ac:dyDescent="0.25">
      <c r="A32">
        <v>30</v>
      </c>
      <c r="B32" s="160" t="b">
        <f>IF(HVAC!$E34="High Eff. AC Unit",IF(HVAC!$G34&lt;References!$T$116,References!$L$116,IF(AND(HVAC!$G34&lt;References!$T$117,HVAC!$G34&gt;References!$S$117),References!$L$117,IF(AND(HVAC!$G34&lt;References!$T$118,HVAC!$G34&gt;References!$S$118),References!$L$118,IF(AND(HVAC!$G34&lt;References!$T$119,HVAC!$G34&gt;References!$S$119),References!$L$119,IF(HVAC!$G34&gt;References!$S$120,References!$L$120,""))))))</f>
        <v>0</v>
      </c>
      <c r="C32" s="160" t="b">
        <f>IF(HVAC!$E34="High Eff. Heat Pump Unit",IF(HVAC!$G34&lt;References!$T$121,References!$L$121,IF(AND(HVAC!$G34&lt;References!$T$122,HVAC!$G34&gt;References!$S$122),References!$L$122,IF(AND(HVAC!$G34&lt;References!$T$123,HVAC!$G34&gt;References!$S$123),References!$L$123,IF(HVAC!$G34&gt;References!$S$124,References!$L$124,"")))))</f>
        <v>0</v>
      </c>
      <c r="D32" s="160" t="b">
        <f>IF(HVAC!$E34="High Eff. AC Unit",IF(HVAC!$G34&lt;References!$T$116,References!$M$116,IF(AND(HVAC!$G34&lt;References!$T$117,HVAC!$G34&gt;References!$S$117),References!$M$117,IF(AND(HVAC!$G34&lt;References!$T$118,HVAC!$G34&gt;References!$S$118),References!$M$118,IF(AND(HVAC!$G34&lt;References!$T$119,HVAC!$G34&gt;References!$S$119),References!$M$119,IF(HVAC!$G34&gt;References!$S$120,References!$M$120,""))))))</f>
        <v>0</v>
      </c>
      <c r="E32" s="160" t="b">
        <f>IF(HVAC!$E34="High Eff. Heat Pump Unit",IF(HVAC!$G34&lt;References!$T$121,References!$M$121,IF(AND(HVAC!$G34&lt;References!$T$122,HVAC!$G34&gt;References!$S$122),References!$M$122,IF(AND(HVAC!$G34&lt;References!$T$123,HVAC!$G34&gt;References!$S$123),References!$M$123,IF(HVAC!$G34&gt;References!$S$124,References!$M$124,"")))))</f>
        <v>0</v>
      </c>
      <c r="F32" s="160" t="b">
        <f>IF(HVAC!$E34="High Eff. Heat Pump Unit",IF(HVAC!$G34&lt;References!$T$121,References!$N$121,IF(AND(HVAC!$G34&lt;References!$T$122,HVAC!$G34&gt;References!$S$122),References!$N$122,IF(AND(HVAC!$G34&lt;References!$T$123,HVAC!$G34&gt;References!$S$123),References!$N$123,IF(HVAC!$G34&gt;References!$S$124,References!$N$124,"")))))</f>
        <v>0</v>
      </c>
      <c r="H32" s="224">
        <f>IF(HVAC!$E34="High Eff. AC Unit",HVAC!$G34*References!$K$4*((1/'HVAC Calcs'!$D32)-(1/HVAC!$I34)),IF(HVAC!$E34="High Eff. Heat Pump Unit",HVAC!$G34*References!$K$5*((1/'HVAC Calcs'!$E32)-(1/HVAC!$I34))+HVAC!$G34*References!$N$5*((1/'HVAC Calcs'!$F32)-(1/HVAC!$J34)),0))</f>
        <v>0</v>
      </c>
      <c r="I32" s="225" t="b">
        <f>IF(HVAC!$E34="High Eff. AC Unit",HVAC!$G34*References!$L$4*((1/'HVAC Calcs'!$B32)-(1/HVAC!$H34)),IF(HVAC!$E34="High Eff. Heat Pump Unit",HVAC!$G34*References!$L$5*((1/'HVAC Calcs'!$C32)-(1/HVAC!$H34))))</f>
        <v>0</v>
      </c>
    </row>
    <row r="33" spans="1:9" ht="15" x14ac:dyDescent="0.25">
      <c r="A33">
        <v>31</v>
      </c>
      <c r="B33" s="160" t="b">
        <f>IF(HVAC!$E35="High Eff. AC Unit",IF(HVAC!$G35&lt;References!$T$116,References!$L$116,IF(AND(HVAC!$G35&lt;References!$T$117,HVAC!$G35&gt;References!$S$117),References!$L$117,IF(AND(HVAC!$G35&lt;References!$T$118,HVAC!$G35&gt;References!$S$118),References!$L$118,IF(AND(HVAC!$G35&lt;References!$T$119,HVAC!$G35&gt;References!$S$119),References!$L$119,IF(HVAC!$G35&gt;References!$S$120,References!$L$120,""))))))</f>
        <v>0</v>
      </c>
      <c r="C33" s="160" t="b">
        <f>IF(HVAC!$E35="High Eff. Heat Pump Unit",IF(HVAC!$G35&lt;References!$T$121,References!$L$121,IF(AND(HVAC!$G35&lt;References!$T$122,HVAC!$G35&gt;References!$S$122),References!$L$122,IF(AND(HVAC!$G35&lt;References!$T$123,HVAC!$G35&gt;References!$S$123),References!$L$123,IF(HVAC!$G35&gt;References!$S$124,References!$L$124,"")))))</f>
        <v>0</v>
      </c>
      <c r="D33" s="160" t="b">
        <f>IF(HVAC!$E35="High Eff. AC Unit",IF(HVAC!$G35&lt;References!$T$116,References!$M$116,IF(AND(HVAC!$G35&lt;References!$T$117,HVAC!$G35&gt;References!$S$117),References!$M$117,IF(AND(HVAC!$G35&lt;References!$T$118,HVAC!$G35&gt;References!$S$118),References!$M$118,IF(AND(HVAC!$G35&lt;References!$T$119,HVAC!$G35&gt;References!$S$119),References!$M$119,IF(HVAC!$G35&gt;References!$S$120,References!$M$120,""))))))</f>
        <v>0</v>
      </c>
      <c r="E33" s="160" t="b">
        <f>IF(HVAC!$E35="High Eff. Heat Pump Unit",IF(HVAC!$G35&lt;References!$T$121,References!$M$121,IF(AND(HVAC!$G35&lt;References!$T$122,HVAC!$G35&gt;References!$S$122),References!$M$122,IF(AND(HVAC!$G35&lt;References!$T$123,HVAC!$G35&gt;References!$S$123),References!$M$123,IF(HVAC!$G35&gt;References!$S$124,References!$M$124,"")))))</f>
        <v>0</v>
      </c>
      <c r="F33" s="160" t="b">
        <f>IF(HVAC!$E35="High Eff. Heat Pump Unit",IF(HVAC!$G35&lt;References!$T$121,References!$N$121,IF(AND(HVAC!$G35&lt;References!$T$122,HVAC!$G35&gt;References!$S$122),References!$N$122,IF(AND(HVAC!$G35&lt;References!$T$123,HVAC!$G35&gt;References!$S$123),References!$N$123,IF(HVAC!$G35&gt;References!$S$124,References!$N$124,"")))))</f>
        <v>0</v>
      </c>
      <c r="H33" s="224">
        <f>IF(HVAC!$E35="High Eff. AC Unit",HVAC!$G35*References!$K$4*((1/'HVAC Calcs'!$D33)-(1/HVAC!$I35)),IF(HVAC!$E35="High Eff. Heat Pump Unit",HVAC!$G35*References!$K$5*((1/'HVAC Calcs'!$E33)-(1/HVAC!$I35))+HVAC!$G35*References!$N$5*((1/'HVAC Calcs'!$F33)-(1/HVAC!$J35)),0))</f>
        <v>0</v>
      </c>
      <c r="I33" s="225" t="b">
        <f>IF(HVAC!$E35="High Eff. AC Unit",HVAC!$G35*References!$L$4*((1/'HVAC Calcs'!$B33)-(1/HVAC!$H35)),IF(HVAC!$E35="High Eff. Heat Pump Unit",HVAC!$G35*References!$L$5*((1/'HVAC Calcs'!$C33)-(1/HVAC!$H35))))</f>
        <v>0</v>
      </c>
    </row>
    <row r="34" spans="1:9" ht="15" x14ac:dyDescent="0.25">
      <c r="A34">
        <v>32</v>
      </c>
      <c r="B34" s="160" t="b">
        <f>IF(HVAC!$E36="High Eff. AC Unit",IF(HVAC!$G36&lt;References!$T$116,References!$L$116,IF(AND(HVAC!$G36&lt;References!$T$117,HVAC!$G36&gt;References!$S$117),References!$L$117,IF(AND(HVAC!$G36&lt;References!$T$118,HVAC!$G36&gt;References!$S$118),References!$L$118,IF(AND(HVAC!$G36&lt;References!$T$119,HVAC!$G36&gt;References!$S$119),References!$L$119,IF(HVAC!$G36&gt;References!$S$120,References!$L$120,""))))))</f>
        <v>0</v>
      </c>
      <c r="C34" s="160" t="b">
        <f>IF(HVAC!$E36="High Eff. Heat Pump Unit",IF(HVAC!$G36&lt;References!$T$121,References!$L$121,IF(AND(HVAC!$G36&lt;References!$T$122,HVAC!$G36&gt;References!$S$122),References!$L$122,IF(AND(HVAC!$G36&lt;References!$T$123,HVAC!$G36&gt;References!$S$123),References!$L$123,IF(HVAC!$G36&gt;References!$S$124,References!$L$124,"")))))</f>
        <v>0</v>
      </c>
      <c r="D34" s="160" t="b">
        <f>IF(HVAC!$E36="High Eff. AC Unit",IF(HVAC!$G36&lt;References!$T$116,References!$M$116,IF(AND(HVAC!$G36&lt;References!$T$117,HVAC!$G36&gt;References!$S$117),References!$M$117,IF(AND(HVAC!$G36&lt;References!$T$118,HVAC!$G36&gt;References!$S$118),References!$M$118,IF(AND(HVAC!$G36&lt;References!$T$119,HVAC!$G36&gt;References!$S$119),References!$M$119,IF(HVAC!$G36&gt;References!$S$120,References!$M$120,""))))))</f>
        <v>0</v>
      </c>
      <c r="E34" s="160" t="b">
        <f>IF(HVAC!$E36="High Eff. Heat Pump Unit",IF(HVAC!$G36&lt;References!$T$121,References!$M$121,IF(AND(HVAC!$G36&lt;References!$T$122,HVAC!$G36&gt;References!$S$122),References!$M$122,IF(AND(HVAC!$G36&lt;References!$T$123,HVAC!$G36&gt;References!$S$123),References!$M$123,IF(HVAC!$G36&gt;References!$S$124,References!$M$124,"")))))</f>
        <v>0</v>
      </c>
      <c r="F34" s="160" t="b">
        <f>IF(HVAC!$E36="High Eff. Heat Pump Unit",IF(HVAC!$G36&lt;References!$T$121,References!$N$121,IF(AND(HVAC!$G36&lt;References!$T$122,HVAC!$G36&gt;References!$S$122),References!$N$122,IF(AND(HVAC!$G36&lt;References!$T$123,HVAC!$G36&gt;References!$S$123),References!$N$123,IF(HVAC!$G36&gt;References!$S$124,References!$N$124,"")))))</f>
        <v>0</v>
      </c>
      <c r="H34" s="224">
        <f>IF(HVAC!$E36="High Eff. AC Unit",HVAC!$G36*References!$K$4*((1/'HVAC Calcs'!$D34)-(1/HVAC!$I36)),IF(HVAC!$E36="High Eff. Heat Pump Unit",HVAC!$G36*References!$K$5*((1/'HVAC Calcs'!$E34)-(1/HVAC!$I36))+HVAC!$G36*References!$N$5*((1/'HVAC Calcs'!$F34)-(1/HVAC!$J36)),0))</f>
        <v>0</v>
      </c>
      <c r="I34" s="225" t="b">
        <f>IF(HVAC!$E36="High Eff. AC Unit",HVAC!$G36*References!$L$4*((1/'HVAC Calcs'!$B34)-(1/HVAC!$H36)),IF(HVAC!$E36="High Eff. Heat Pump Unit",HVAC!$G36*References!$L$5*((1/'HVAC Calcs'!$C34)-(1/HVAC!$H36))))</f>
        <v>0</v>
      </c>
    </row>
    <row r="35" spans="1:9" ht="15" x14ac:dyDescent="0.25">
      <c r="A35">
        <v>33</v>
      </c>
      <c r="B35" s="160" t="b">
        <f>IF(HVAC!$E37="High Eff. AC Unit",IF(HVAC!$G37&lt;References!$T$116,References!$L$116,IF(AND(HVAC!$G37&lt;References!$T$117,HVAC!$G37&gt;References!$S$117),References!$L$117,IF(AND(HVAC!$G37&lt;References!$T$118,HVAC!$G37&gt;References!$S$118),References!$L$118,IF(AND(HVAC!$G37&lt;References!$T$119,HVAC!$G37&gt;References!$S$119),References!$L$119,IF(HVAC!$G37&gt;References!$S$120,References!$L$120,""))))))</f>
        <v>0</v>
      </c>
      <c r="C35" s="160" t="b">
        <f>IF(HVAC!$E37="High Eff. Heat Pump Unit",IF(HVAC!$G37&lt;References!$T$121,References!$L$121,IF(AND(HVAC!$G37&lt;References!$T$122,HVAC!$G37&gt;References!$S$122),References!$L$122,IF(AND(HVAC!$G37&lt;References!$T$123,HVAC!$G37&gt;References!$S$123),References!$L$123,IF(HVAC!$G37&gt;References!$S$124,References!$L$124,"")))))</f>
        <v>0</v>
      </c>
      <c r="D35" s="160" t="b">
        <f>IF(HVAC!$E37="High Eff. AC Unit",IF(HVAC!$G37&lt;References!$T$116,References!$M$116,IF(AND(HVAC!$G37&lt;References!$T$117,HVAC!$G37&gt;References!$S$117),References!$M$117,IF(AND(HVAC!$G37&lt;References!$T$118,HVAC!$G37&gt;References!$S$118),References!$M$118,IF(AND(HVAC!$G37&lt;References!$T$119,HVAC!$G37&gt;References!$S$119),References!$M$119,IF(HVAC!$G37&gt;References!$S$120,References!$M$120,""))))))</f>
        <v>0</v>
      </c>
      <c r="E35" s="160" t="b">
        <f>IF(HVAC!$E37="High Eff. Heat Pump Unit",IF(HVAC!$G37&lt;References!$T$121,References!$M$121,IF(AND(HVAC!$G37&lt;References!$T$122,HVAC!$G37&gt;References!$S$122),References!$M$122,IF(AND(HVAC!$G37&lt;References!$T$123,HVAC!$G37&gt;References!$S$123),References!$M$123,IF(HVAC!$G37&gt;References!$S$124,References!$M$124,"")))))</f>
        <v>0</v>
      </c>
      <c r="F35" s="160" t="b">
        <f>IF(HVAC!$E37="High Eff. Heat Pump Unit",IF(HVAC!$G37&lt;References!$T$121,References!$N$121,IF(AND(HVAC!$G37&lt;References!$T$122,HVAC!$G37&gt;References!$S$122),References!$N$122,IF(AND(HVAC!$G37&lt;References!$T$123,HVAC!$G37&gt;References!$S$123),References!$N$123,IF(HVAC!$G37&gt;References!$S$124,References!$N$124,"")))))</f>
        <v>0</v>
      </c>
      <c r="H35" s="224">
        <f>IF(HVAC!$E37="High Eff. AC Unit",HVAC!$G37*References!$K$4*((1/'HVAC Calcs'!$D35)-(1/HVAC!$I37)),IF(HVAC!$E37="High Eff. Heat Pump Unit",HVAC!$G37*References!$K$5*((1/'HVAC Calcs'!$E35)-(1/HVAC!$I37))+HVAC!$G37*References!$N$5*((1/'HVAC Calcs'!$F35)-(1/HVAC!$J37)),0))</f>
        <v>0</v>
      </c>
      <c r="I35" s="225" t="b">
        <f>IF(HVAC!$E37="High Eff. AC Unit",HVAC!$G37*References!$L$4*((1/'HVAC Calcs'!$B35)-(1/HVAC!$H37)),IF(HVAC!$E37="High Eff. Heat Pump Unit",HVAC!$G37*References!$L$5*((1/'HVAC Calcs'!$C35)-(1/HVAC!$H37))))</f>
        <v>0</v>
      </c>
    </row>
    <row r="36" spans="1:9" ht="15" x14ac:dyDescent="0.25">
      <c r="A36">
        <v>34</v>
      </c>
      <c r="B36" s="160" t="b">
        <f>IF(HVAC!$E38="High Eff. AC Unit",IF(HVAC!$G38&lt;References!$T$116,References!$L$116,IF(AND(HVAC!$G38&lt;References!$T$117,HVAC!$G38&gt;References!$S$117),References!$L$117,IF(AND(HVAC!$G38&lt;References!$T$118,HVAC!$G38&gt;References!$S$118),References!$L$118,IF(AND(HVAC!$G38&lt;References!$T$119,HVAC!$G38&gt;References!$S$119),References!$L$119,IF(HVAC!$G38&gt;References!$S$120,References!$L$120,""))))))</f>
        <v>0</v>
      </c>
      <c r="C36" s="160" t="b">
        <f>IF(HVAC!$E38="High Eff. Heat Pump Unit",IF(HVAC!$G38&lt;References!$T$121,References!$L$121,IF(AND(HVAC!$G38&lt;References!$T$122,HVAC!$G38&gt;References!$S$122),References!$L$122,IF(AND(HVAC!$G38&lt;References!$T$123,HVAC!$G38&gt;References!$S$123),References!$L$123,IF(HVAC!$G38&gt;References!$S$124,References!$L$124,"")))))</f>
        <v>0</v>
      </c>
      <c r="D36" s="160" t="b">
        <f>IF(HVAC!$E38="High Eff. AC Unit",IF(HVAC!$G38&lt;References!$T$116,References!$M$116,IF(AND(HVAC!$G38&lt;References!$T$117,HVAC!$G38&gt;References!$S$117),References!$M$117,IF(AND(HVAC!$G38&lt;References!$T$118,HVAC!$G38&gt;References!$S$118),References!$M$118,IF(AND(HVAC!$G38&lt;References!$T$119,HVAC!$G38&gt;References!$S$119),References!$M$119,IF(HVAC!$G38&gt;References!$S$120,References!$M$120,""))))))</f>
        <v>0</v>
      </c>
      <c r="E36" s="160" t="b">
        <f>IF(HVAC!$E38="High Eff. Heat Pump Unit",IF(HVAC!$G38&lt;References!$T$121,References!$M$121,IF(AND(HVAC!$G38&lt;References!$T$122,HVAC!$G38&gt;References!$S$122),References!$M$122,IF(AND(HVAC!$G38&lt;References!$T$123,HVAC!$G38&gt;References!$S$123),References!$M$123,IF(HVAC!$G38&gt;References!$S$124,References!$M$124,"")))))</f>
        <v>0</v>
      </c>
      <c r="F36" s="160" t="b">
        <f>IF(HVAC!$E38="High Eff. Heat Pump Unit",IF(HVAC!$G38&lt;References!$T$121,References!$N$121,IF(AND(HVAC!$G38&lt;References!$T$122,HVAC!$G38&gt;References!$S$122),References!$N$122,IF(AND(HVAC!$G38&lt;References!$T$123,HVAC!$G38&gt;References!$S$123),References!$N$123,IF(HVAC!$G38&gt;References!$S$124,References!$N$124,"")))))</f>
        <v>0</v>
      </c>
      <c r="H36" s="224">
        <f>IF(HVAC!$E38="High Eff. AC Unit",HVAC!$G38*References!$K$4*((1/'HVAC Calcs'!$D36)-(1/HVAC!$I38)),IF(HVAC!$E38="High Eff. Heat Pump Unit",HVAC!$G38*References!$K$5*((1/'HVAC Calcs'!$E36)-(1/HVAC!$I38))+HVAC!$G38*References!$N$5*((1/'HVAC Calcs'!$F36)-(1/HVAC!$J38)),0))</f>
        <v>0</v>
      </c>
      <c r="I36" s="225" t="b">
        <f>IF(HVAC!$E38="High Eff. AC Unit",HVAC!$G38*References!$L$4*((1/'HVAC Calcs'!$B36)-(1/HVAC!$H38)),IF(HVAC!$E38="High Eff. Heat Pump Unit",HVAC!$G38*References!$L$5*((1/'HVAC Calcs'!$C36)-(1/HVAC!$H38))))</f>
        <v>0</v>
      </c>
    </row>
    <row r="37" spans="1:9" ht="15" x14ac:dyDescent="0.25">
      <c r="A37">
        <v>35</v>
      </c>
      <c r="B37" s="160" t="b">
        <f>IF(HVAC!$E39="High Eff. AC Unit",IF(HVAC!$G39&lt;References!$T$116,References!$L$116,IF(AND(HVAC!$G39&lt;References!$T$117,HVAC!$G39&gt;References!$S$117),References!$L$117,IF(AND(HVAC!$G39&lt;References!$T$118,HVAC!$G39&gt;References!$S$118),References!$L$118,IF(AND(HVAC!$G39&lt;References!$T$119,HVAC!$G39&gt;References!$S$119),References!$L$119,IF(HVAC!$G39&gt;References!$S$120,References!$L$120,""))))))</f>
        <v>0</v>
      </c>
      <c r="C37" s="160" t="b">
        <f>IF(HVAC!$E39="High Eff. Heat Pump Unit",IF(HVAC!$G39&lt;References!$T$121,References!$L$121,IF(AND(HVAC!$G39&lt;References!$T$122,HVAC!$G39&gt;References!$S$122),References!$L$122,IF(AND(HVAC!$G39&lt;References!$T$123,HVAC!$G39&gt;References!$S$123),References!$L$123,IF(HVAC!$G39&gt;References!$S$124,References!$L$124,"")))))</f>
        <v>0</v>
      </c>
      <c r="D37" s="160" t="b">
        <f>IF(HVAC!$E39="High Eff. AC Unit",IF(HVAC!$G39&lt;References!$T$116,References!$M$116,IF(AND(HVAC!$G39&lt;References!$T$117,HVAC!$G39&gt;References!$S$117),References!$M$117,IF(AND(HVAC!$G39&lt;References!$T$118,HVAC!$G39&gt;References!$S$118),References!$M$118,IF(AND(HVAC!$G39&lt;References!$T$119,HVAC!$G39&gt;References!$S$119),References!$M$119,IF(HVAC!$G39&gt;References!$S$120,References!$M$120,""))))))</f>
        <v>0</v>
      </c>
      <c r="E37" s="160" t="b">
        <f>IF(HVAC!$E39="High Eff. Heat Pump Unit",IF(HVAC!$G39&lt;References!$T$121,References!$M$121,IF(AND(HVAC!$G39&lt;References!$T$122,HVAC!$G39&gt;References!$S$122),References!$M$122,IF(AND(HVAC!$G39&lt;References!$T$123,HVAC!$G39&gt;References!$S$123),References!$M$123,IF(HVAC!$G39&gt;References!$S$124,References!$M$124,"")))))</f>
        <v>0</v>
      </c>
      <c r="F37" s="160" t="b">
        <f>IF(HVAC!$E39="High Eff. Heat Pump Unit",IF(HVAC!$G39&lt;References!$T$121,References!$N$121,IF(AND(HVAC!$G39&lt;References!$T$122,HVAC!$G39&gt;References!$S$122),References!$N$122,IF(AND(HVAC!$G39&lt;References!$T$123,HVAC!$G39&gt;References!$S$123),References!$N$123,IF(HVAC!$G39&gt;References!$S$124,References!$N$124,"")))))</f>
        <v>0</v>
      </c>
      <c r="H37" s="224">
        <f>IF(HVAC!$E39="High Eff. AC Unit",HVAC!$G39*References!$K$4*((1/'HVAC Calcs'!$D37)-(1/HVAC!$I39)),IF(HVAC!$E39="High Eff. Heat Pump Unit",HVAC!$G39*References!$K$5*((1/'HVAC Calcs'!$E37)-(1/HVAC!$I39))+HVAC!$G39*References!$N$5*((1/'HVAC Calcs'!$F37)-(1/HVAC!$J39)),0))</f>
        <v>0</v>
      </c>
      <c r="I37" s="225" t="b">
        <f>IF(HVAC!$E39="High Eff. AC Unit",HVAC!$G39*References!$L$4*((1/'HVAC Calcs'!$B37)-(1/HVAC!$H39)),IF(HVAC!$E39="High Eff. Heat Pump Unit",HVAC!$G39*References!$L$5*((1/'HVAC Calcs'!$C37)-(1/HVAC!$H39))))</f>
        <v>0</v>
      </c>
    </row>
    <row r="38" spans="1:9" ht="15" x14ac:dyDescent="0.25">
      <c r="A38">
        <v>36</v>
      </c>
      <c r="B38" s="160" t="b">
        <f>IF(HVAC!$E40="High Eff. AC Unit",IF(HVAC!$G40&lt;References!$T$116,References!$L$116,IF(AND(HVAC!$G40&lt;References!$T$117,HVAC!$G40&gt;References!$S$117),References!$L$117,IF(AND(HVAC!$G40&lt;References!$T$118,HVAC!$G40&gt;References!$S$118),References!$L$118,IF(AND(HVAC!$G40&lt;References!$T$119,HVAC!$G40&gt;References!$S$119),References!$L$119,IF(HVAC!$G40&gt;References!$S$120,References!$L$120,""))))))</f>
        <v>0</v>
      </c>
      <c r="C38" s="160" t="b">
        <f>IF(HVAC!$E40="High Eff. Heat Pump Unit",IF(HVAC!$G40&lt;References!$T$121,References!$L$121,IF(AND(HVAC!$G40&lt;References!$T$122,HVAC!$G40&gt;References!$S$122),References!$L$122,IF(AND(HVAC!$G40&lt;References!$T$123,HVAC!$G40&gt;References!$S$123),References!$L$123,IF(HVAC!$G40&gt;References!$S$124,References!$L$124,"")))))</f>
        <v>0</v>
      </c>
      <c r="D38" s="160" t="b">
        <f>IF(HVAC!$E40="High Eff. AC Unit",IF(HVAC!$G40&lt;References!$T$116,References!$M$116,IF(AND(HVAC!$G40&lt;References!$T$117,HVAC!$G40&gt;References!$S$117),References!$M$117,IF(AND(HVAC!$G40&lt;References!$T$118,HVAC!$G40&gt;References!$S$118),References!$M$118,IF(AND(HVAC!$G40&lt;References!$T$119,HVAC!$G40&gt;References!$S$119),References!$M$119,IF(HVAC!$G40&gt;References!$S$120,References!$M$120,""))))))</f>
        <v>0</v>
      </c>
      <c r="E38" s="160" t="b">
        <f>IF(HVAC!$E40="High Eff. Heat Pump Unit",IF(HVAC!$G40&lt;References!$T$121,References!$M$121,IF(AND(HVAC!$G40&lt;References!$T$122,HVAC!$G40&gt;References!$S$122),References!$M$122,IF(AND(HVAC!$G40&lt;References!$T$123,HVAC!$G40&gt;References!$S$123),References!$M$123,IF(HVAC!$G40&gt;References!$S$124,References!$M$124,"")))))</f>
        <v>0</v>
      </c>
      <c r="F38" s="160" t="b">
        <f>IF(HVAC!$E40="High Eff. Heat Pump Unit",IF(HVAC!$G40&lt;References!$T$121,References!$N$121,IF(AND(HVAC!$G40&lt;References!$T$122,HVAC!$G40&gt;References!$S$122),References!$N$122,IF(AND(HVAC!$G40&lt;References!$T$123,HVAC!$G40&gt;References!$S$123),References!$N$123,IF(HVAC!$G40&gt;References!$S$124,References!$N$124,"")))))</f>
        <v>0</v>
      </c>
      <c r="H38" s="224">
        <f>IF(HVAC!$E40="High Eff. AC Unit",HVAC!$G40*References!$K$4*((1/'HVAC Calcs'!$D38)-(1/HVAC!$I40)),IF(HVAC!$E40="High Eff. Heat Pump Unit",HVAC!$G40*References!$K$5*((1/'HVAC Calcs'!$E38)-(1/HVAC!$I40))+HVAC!$G40*References!$N$5*((1/'HVAC Calcs'!$F38)-(1/HVAC!$J40)),0))</f>
        <v>0</v>
      </c>
      <c r="I38" s="225" t="b">
        <f>IF(HVAC!$E40="High Eff. AC Unit",HVAC!$G40*References!$L$4*((1/'HVAC Calcs'!$B38)-(1/HVAC!$H40)),IF(HVAC!$E40="High Eff. Heat Pump Unit",HVAC!$G40*References!$L$5*((1/'HVAC Calcs'!$C38)-(1/HVAC!$H40))))</f>
        <v>0</v>
      </c>
    </row>
    <row r="39" spans="1:9" ht="15" x14ac:dyDescent="0.25">
      <c r="A39">
        <v>37</v>
      </c>
      <c r="B39" s="160" t="b">
        <f>IF(HVAC!$E41="High Eff. AC Unit",IF(HVAC!$G41&lt;References!$T$116,References!$L$116,IF(AND(HVAC!$G41&lt;References!$T$117,HVAC!$G41&gt;References!$S$117),References!$L$117,IF(AND(HVAC!$G41&lt;References!$T$118,HVAC!$G41&gt;References!$S$118),References!$L$118,IF(AND(HVAC!$G41&lt;References!$T$119,HVAC!$G41&gt;References!$S$119),References!$L$119,IF(HVAC!$G41&gt;References!$S$120,References!$L$120,""))))))</f>
        <v>0</v>
      </c>
      <c r="C39" s="160" t="b">
        <f>IF(HVAC!$E41="High Eff. Heat Pump Unit",IF(HVAC!$G41&lt;References!$T$121,References!$L$121,IF(AND(HVAC!$G41&lt;References!$T$122,HVAC!$G41&gt;References!$S$122),References!$L$122,IF(AND(HVAC!$G41&lt;References!$T$123,HVAC!$G41&gt;References!$S$123),References!$L$123,IF(HVAC!$G41&gt;References!$S$124,References!$L$124,"")))))</f>
        <v>0</v>
      </c>
      <c r="D39" s="160" t="b">
        <f>IF(HVAC!$E41="High Eff. AC Unit",IF(HVAC!$G41&lt;References!$T$116,References!$M$116,IF(AND(HVAC!$G41&lt;References!$T$117,HVAC!$G41&gt;References!$S$117),References!$M$117,IF(AND(HVAC!$G41&lt;References!$T$118,HVAC!$G41&gt;References!$S$118),References!$M$118,IF(AND(HVAC!$G41&lt;References!$T$119,HVAC!$G41&gt;References!$S$119),References!$M$119,IF(HVAC!$G41&gt;References!$S$120,References!$M$120,""))))))</f>
        <v>0</v>
      </c>
      <c r="E39" s="160" t="b">
        <f>IF(HVAC!$E41="High Eff. Heat Pump Unit",IF(HVAC!$G41&lt;References!$T$121,References!$M$121,IF(AND(HVAC!$G41&lt;References!$T$122,HVAC!$G41&gt;References!$S$122),References!$M$122,IF(AND(HVAC!$G41&lt;References!$T$123,HVAC!$G41&gt;References!$S$123),References!$M$123,IF(HVAC!$G41&gt;References!$S$124,References!$M$124,"")))))</f>
        <v>0</v>
      </c>
      <c r="F39" s="160" t="b">
        <f>IF(HVAC!$E41="High Eff. Heat Pump Unit",IF(HVAC!$G41&lt;References!$T$121,References!$N$121,IF(AND(HVAC!$G41&lt;References!$T$122,HVAC!$G41&gt;References!$S$122),References!$N$122,IF(AND(HVAC!$G41&lt;References!$T$123,HVAC!$G41&gt;References!$S$123),References!$N$123,IF(HVAC!$G41&gt;References!$S$124,References!$N$124,"")))))</f>
        <v>0</v>
      </c>
      <c r="H39" s="224">
        <f>IF(HVAC!$E41="High Eff. AC Unit",HVAC!$G41*References!$K$4*((1/'HVAC Calcs'!$D39)-(1/HVAC!$I41)),IF(HVAC!$E41="High Eff. Heat Pump Unit",HVAC!$G41*References!$K$5*((1/'HVAC Calcs'!$E39)-(1/HVAC!$I41))+HVAC!$G41*References!$N$5*((1/'HVAC Calcs'!$F39)-(1/HVAC!$J41)),0))</f>
        <v>0</v>
      </c>
      <c r="I39" s="225" t="b">
        <f>IF(HVAC!$E41="High Eff. AC Unit",HVAC!$G41*References!$L$4*((1/'HVAC Calcs'!$B39)-(1/HVAC!$H41)),IF(HVAC!$E41="High Eff. Heat Pump Unit",HVAC!$G41*References!$L$5*((1/'HVAC Calcs'!$C39)-(1/HVAC!$H41))))</f>
        <v>0</v>
      </c>
    </row>
    <row r="40" spans="1:9" ht="15" x14ac:dyDescent="0.25">
      <c r="A40">
        <v>38</v>
      </c>
      <c r="B40" s="160" t="b">
        <f>IF(HVAC!$E42="High Eff. AC Unit",IF(HVAC!$G42&lt;References!$T$116,References!$L$116,IF(AND(HVAC!$G42&lt;References!$T$117,HVAC!$G42&gt;References!$S$117),References!$L$117,IF(AND(HVAC!$G42&lt;References!$T$118,HVAC!$G42&gt;References!$S$118),References!$L$118,IF(AND(HVAC!$G42&lt;References!$T$119,HVAC!$G42&gt;References!$S$119),References!$L$119,IF(HVAC!$G42&gt;References!$S$120,References!$L$120,""))))))</f>
        <v>0</v>
      </c>
      <c r="C40" s="160" t="b">
        <f>IF(HVAC!$E42="High Eff. Heat Pump Unit",IF(HVAC!$G42&lt;References!$T$121,References!$L$121,IF(AND(HVAC!$G42&lt;References!$T$122,HVAC!$G42&gt;References!$S$122),References!$L$122,IF(AND(HVAC!$G42&lt;References!$T$123,HVAC!$G42&gt;References!$S$123),References!$L$123,IF(HVAC!$G42&gt;References!$S$124,References!$L$124,"")))))</f>
        <v>0</v>
      </c>
      <c r="D40" s="160" t="b">
        <f>IF(HVAC!$E42="High Eff. AC Unit",IF(HVAC!$G42&lt;References!$T$116,References!$M$116,IF(AND(HVAC!$G42&lt;References!$T$117,HVAC!$G42&gt;References!$S$117),References!$M$117,IF(AND(HVAC!$G42&lt;References!$T$118,HVAC!$G42&gt;References!$S$118),References!$M$118,IF(AND(HVAC!$G42&lt;References!$T$119,HVAC!$G42&gt;References!$S$119),References!$M$119,IF(HVAC!$G42&gt;References!$S$120,References!$M$120,""))))))</f>
        <v>0</v>
      </c>
      <c r="E40" s="160" t="b">
        <f>IF(HVAC!$E42="High Eff. Heat Pump Unit",IF(HVAC!$G42&lt;References!$T$121,References!$M$121,IF(AND(HVAC!$G42&lt;References!$T$122,HVAC!$G42&gt;References!$S$122),References!$M$122,IF(AND(HVAC!$G42&lt;References!$T$123,HVAC!$G42&gt;References!$S$123),References!$M$123,IF(HVAC!$G42&gt;References!$S$124,References!$M$124,"")))))</f>
        <v>0</v>
      </c>
      <c r="F40" s="160" t="b">
        <f>IF(HVAC!$E42="High Eff. Heat Pump Unit",IF(HVAC!$G42&lt;References!$T$121,References!$N$121,IF(AND(HVAC!$G42&lt;References!$T$122,HVAC!$G42&gt;References!$S$122),References!$N$122,IF(AND(HVAC!$G42&lt;References!$T$123,HVAC!$G42&gt;References!$S$123),References!$N$123,IF(HVAC!$G42&gt;References!$S$124,References!$N$124,"")))))</f>
        <v>0</v>
      </c>
      <c r="H40" s="224">
        <f>IF(HVAC!$E42="High Eff. AC Unit",HVAC!$G42*References!$K$4*((1/'HVAC Calcs'!$D40)-(1/HVAC!$I42)),IF(HVAC!$E42="High Eff. Heat Pump Unit",HVAC!$G42*References!$K$5*((1/'HVAC Calcs'!$E40)-(1/HVAC!$I42))+HVAC!$G42*References!$N$5*((1/'HVAC Calcs'!$F40)-(1/HVAC!$J42)),0))</f>
        <v>0</v>
      </c>
      <c r="I40" s="225" t="b">
        <f>IF(HVAC!$E42="High Eff. AC Unit",HVAC!$G42*References!$L$4*((1/'HVAC Calcs'!$B40)-(1/HVAC!$H42)),IF(HVAC!$E42="High Eff. Heat Pump Unit",HVAC!$G42*References!$L$5*((1/'HVAC Calcs'!$C40)-(1/HVAC!$H42))))</f>
        <v>0</v>
      </c>
    </row>
    <row r="41" spans="1:9" ht="15" x14ac:dyDescent="0.25">
      <c r="A41">
        <v>39</v>
      </c>
      <c r="B41" s="160" t="b">
        <f>IF(HVAC!$E43="High Eff. AC Unit",IF(HVAC!$G43&lt;References!$T$116,References!$L$116,IF(AND(HVAC!$G43&lt;References!$T$117,HVAC!$G43&gt;References!$S$117),References!$L$117,IF(AND(HVAC!$G43&lt;References!$T$118,HVAC!$G43&gt;References!$S$118),References!$L$118,IF(AND(HVAC!$G43&lt;References!$T$119,HVAC!$G43&gt;References!$S$119),References!$L$119,IF(HVAC!$G43&gt;References!$S$120,References!$L$120,""))))))</f>
        <v>0</v>
      </c>
      <c r="C41" s="160" t="b">
        <f>IF(HVAC!$E43="High Eff. Heat Pump Unit",IF(HVAC!$G43&lt;References!$T$121,References!$L$121,IF(AND(HVAC!$G43&lt;References!$T$122,HVAC!$G43&gt;References!$S$122),References!$L$122,IF(AND(HVAC!$G43&lt;References!$T$123,HVAC!$G43&gt;References!$S$123),References!$L$123,IF(HVAC!$G43&gt;References!$S$124,References!$L$124,"")))))</f>
        <v>0</v>
      </c>
      <c r="D41" s="160" t="b">
        <f>IF(HVAC!$E43="High Eff. AC Unit",IF(HVAC!$G43&lt;References!$T$116,References!$M$116,IF(AND(HVAC!$G43&lt;References!$T$117,HVAC!$G43&gt;References!$S$117),References!$M$117,IF(AND(HVAC!$G43&lt;References!$T$118,HVAC!$G43&gt;References!$S$118),References!$M$118,IF(AND(HVAC!$G43&lt;References!$T$119,HVAC!$G43&gt;References!$S$119),References!$M$119,IF(HVAC!$G43&gt;References!$S$120,References!$M$120,""))))))</f>
        <v>0</v>
      </c>
      <c r="E41" s="160" t="b">
        <f>IF(HVAC!$E43="High Eff. Heat Pump Unit",IF(HVAC!$G43&lt;References!$T$121,References!$M$121,IF(AND(HVAC!$G43&lt;References!$T$122,HVAC!$G43&gt;References!$S$122),References!$M$122,IF(AND(HVAC!$G43&lt;References!$T$123,HVAC!$G43&gt;References!$S$123),References!$M$123,IF(HVAC!$G43&gt;References!$S$124,References!$M$124,"")))))</f>
        <v>0</v>
      </c>
      <c r="F41" s="160" t="b">
        <f>IF(HVAC!$E43="High Eff. Heat Pump Unit",IF(HVAC!$G43&lt;References!$T$121,References!$N$121,IF(AND(HVAC!$G43&lt;References!$T$122,HVAC!$G43&gt;References!$S$122),References!$N$122,IF(AND(HVAC!$G43&lt;References!$T$123,HVAC!$G43&gt;References!$S$123),References!$N$123,IF(HVAC!$G43&gt;References!$S$124,References!$N$124,"")))))</f>
        <v>0</v>
      </c>
      <c r="H41" s="224">
        <f>IF(HVAC!$E43="High Eff. AC Unit",HVAC!$G43*References!$K$4*((1/'HVAC Calcs'!$D41)-(1/HVAC!$I43)),IF(HVAC!$E43="High Eff. Heat Pump Unit",HVAC!$G43*References!$K$5*((1/'HVAC Calcs'!$E41)-(1/HVAC!$I43))+HVAC!$G43*References!$N$5*((1/'HVAC Calcs'!$F41)-(1/HVAC!$J43)),0))</f>
        <v>0</v>
      </c>
      <c r="I41" s="225" t="b">
        <f>IF(HVAC!$E43="High Eff. AC Unit",HVAC!$G43*References!$L$4*((1/'HVAC Calcs'!$B41)-(1/HVAC!$H43)),IF(HVAC!$E43="High Eff. Heat Pump Unit",HVAC!$G43*References!$L$5*((1/'HVAC Calcs'!$C41)-(1/HVAC!$H43))))</f>
        <v>0</v>
      </c>
    </row>
    <row r="42" spans="1:9" ht="15" x14ac:dyDescent="0.25">
      <c r="A42">
        <v>40</v>
      </c>
      <c r="B42" s="160" t="b">
        <f>IF(HVAC!$E44="High Eff. AC Unit",IF(HVAC!$G44&lt;References!$T$116,References!$L$116,IF(AND(HVAC!$G44&lt;References!$T$117,HVAC!$G44&gt;References!$S$117),References!$L$117,IF(AND(HVAC!$G44&lt;References!$T$118,HVAC!$G44&gt;References!$S$118),References!$L$118,IF(AND(HVAC!$G44&lt;References!$T$119,HVAC!$G44&gt;References!$S$119),References!$L$119,IF(HVAC!$G44&gt;References!$S$120,References!$L$120,""))))))</f>
        <v>0</v>
      </c>
      <c r="C42" s="160" t="b">
        <f>IF(HVAC!$E44="High Eff. Heat Pump Unit",IF(HVAC!$G44&lt;References!$T$121,References!$L$121,IF(AND(HVAC!$G44&lt;References!$T$122,HVAC!$G44&gt;References!$S$122),References!$L$122,IF(AND(HVAC!$G44&lt;References!$T$123,HVAC!$G44&gt;References!$S$123),References!$L$123,IF(HVAC!$G44&gt;References!$S$124,References!$L$124,"")))))</f>
        <v>0</v>
      </c>
      <c r="D42" s="160" t="b">
        <f>IF(HVAC!$E44="High Eff. AC Unit",IF(HVAC!$G44&lt;References!$T$116,References!$M$116,IF(AND(HVAC!$G44&lt;References!$T$117,HVAC!$G44&gt;References!$S$117),References!$M$117,IF(AND(HVAC!$G44&lt;References!$T$118,HVAC!$G44&gt;References!$S$118),References!$M$118,IF(AND(HVAC!$G44&lt;References!$T$119,HVAC!$G44&gt;References!$S$119),References!$M$119,IF(HVAC!$G44&gt;References!$S$120,References!$M$120,""))))))</f>
        <v>0</v>
      </c>
      <c r="E42" s="160" t="b">
        <f>IF(HVAC!$E44="High Eff. Heat Pump Unit",IF(HVAC!$G44&lt;References!$T$121,References!$M$121,IF(AND(HVAC!$G44&lt;References!$T$122,HVAC!$G44&gt;References!$S$122),References!$M$122,IF(AND(HVAC!$G44&lt;References!$T$123,HVAC!$G44&gt;References!$S$123),References!$M$123,IF(HVAC!$G44&gt;References!$S$124,References!$M$124,"")))))</f>
        <v>0</v>
      </c>
      <c r="F42" s="160" t="b">
        <f>IF(HVAC!$E44="High Eff. Heat Pump Unit",IF(HVAC!$G44&lt;References!$T$121,References!$N$121,IF(AND(HVAC!$G44&lt;References!$T$122,HVAC!$G44&gt;References!$S$122),References!$N$122,IF(AND(HVAC!$G44&lt;References!$T$123,HVAC!$G44&gt;References!$S$123),References!$N$123,IF(HVAC!$G44&gt;References!$S$124,References!$N$124,"")))))</f>
        <v>0</v>
      </c>
      <c r="H42" s="224">
        <f>IF(HVAC!$E44="High Eff. AC Unit",HVAC!$G44*References!$K$4*((1/'HVAC Calcs'!$D42)-(1/HVAC!$I44)),IF(HVAC!$E44="High Eff. Heat Pump Unit",HVAC!$G44*References!$K$5*((1/'HVAC Calcs'!$E42)-(1/HVAC!$I44))+HVAC!$G44*References!$N$5*((1/'HVAC Calcs'!$F42)-(1/HVAC!$J44)),0))</f>
        <v>0</v>
      </c>
      <c r="I42" s="225" t="b">
        <f>IF(HVAC!$E44="High Eff. AC Unit",HVAC!$G44*References!$L$4*((1/'HVAC Calcs'!$B42)-(1/HVAC!$H44)),IF(HVAC!$E44="High Eff. Heat Pump Unit",HVAC!$G44*References!$L$5*((1/'HVAC Calcs'!$C42)-(1/HVAC!$H44))))</f>
        <v>0</v>
      </c>
    </row>
    <row r="43" spans="1:9" ht="15" x14ac:dyDescent="0.25">
      <c r="A43">
        <v>41</v>
      </c>
      <c r="B43" s="160" t="b">
        <f>IF(HVAC!$E45="High Eff. AC Unit",IF(HVAC!$G45&lt;References!$T$116,References!$L$116,IF(AND(HVAC!$G45&lt;References!$T$117,HVAC!$G45&gt;References!$S$117),References!$L$117,IF(AND(HVAC!$G45&lt;References!$T$118,HVAC!$G45&gt;References!$S$118),References!$L$118,IF(AND(HVAC!$G45&lt;References!$T$119,HVAC!$G45&gt;References!$S$119),References!$L$119,IF(HVAC!$G45&gt;References!$S$120,References!$L$120,""))))))</f>
        <v>0</v>
      </c>
      <c r="C43" s="160" t="b">
        <f>IF(HVAC!$E45="High Eff. Heat Pump Unit",IF(HVAC!$G45&lt;References!$T$121,References!$L$121,IF(AND(HVAC!$G45&lt;References!$T$122,HVAC!$G45&gt;References!$S$122),References!$L$122,IF(AND(HVAC!$G45&lt;References!$T$123,HVAC!$G45&gt;References!$S$123),References!$L$123,IF(HVAC!$G45&gt;References!$S$124,References!$L$124,"")))))</f>
        <v>0</v>
      </c>
      <c r="D43" s="160" t="b">
        <f>IF(HVAC!$E45="High Eff. AC Unit",IF(HVAC!$G45&lt;References!$T$116,References!$M$116,IF(AND(HVAC!$G45&lt;References!$T$117,HVAC!$G45&gt;References!$S$117),References!$M$117,IF(AND(HVAC!$G45&lt;References!$T$118,HVAC!$G45&gt;References!$S$118),References!$M$118,IF(AND(HVAC!$G45&lt;References!$T$119,HVAC!$G45&gt;References!$S$119),References!$M$119,IF(HVAC!$G45&gt;References!$S$120,References!$M$120,""))))))</f>
        <v>0</v>
      </c>
      <c r="E43" s="160" t="b">
        <f>IF(HVAC!$E45="High Eff. Heat Pump Unit",IF(HVAC!$G45&lt;References!$T$121,References!$M$121,IF(AND(HVAC!$G45&lt;References!$T$122,HVAC!$G45&gt;References!$S$122),References!$M$122,IF(AND(HVAC!$G45&lt;References!$T$123,HVAC!$G45&gt;References!$S$123),References!$M$123,IF(HVAC!$G45&gt;References!$S$124,References!$M$124,"")))))</f>
        <v>0</v>
      </c>
      <c r="F43" s="160" t="b">
        <f>IF(HVAC!$E45="High Eff. Heat Pump Unit",IF(HVAC!$G45&lt;References!$T$121,References!$N$121,IF(AND(HVAC!$G45&lt;References!$T$122,HVAC!$G45&gt;References!$S$122),References!$N$122,IF(AND(HVAC!$G45&lt;References!$T$123,HVAC!$G45&gt;References!$S$123),References!$N$123,IF(HVAC!$G45&gt;References!$S$124,References!$N$124,"")))))</f>
        <v>0</v>
      </c>
      <c r="H43" s="224">
        <f>IF(HVAC!$E45="High Eff. AC Unit",HVAC!$G45*References!$K$4*((1/'HVAC Calcs'!$D43)-(1/HVAC!$I45)),IF(HVAC!$E45="High Eff. Heat Pump Unit",HVAC!$G45*References!$K$5*((1/'HVAC Calcs'!$E43)-(1/HVAC!$I45))+HVAC!$G45*References!$N$5*((1/'HVAC Calcs'!$F43)-(1/HVAC!$J45)),0))</f>
        <v>0</v>
      </c>
      <c r="I43" s="225" t="b">
        <f>IF(HVAC!$E45="High Eff. AC Unit",HVAC!$G45*References!$L$4*((1/'HVAC Calcs'!$B43)-(1/HVAC!$H45)),IF(HVAC!$E45="High Eff. Heat Pump Unit",HVAC!$G45*References!$L$5*((1/'HVAC Calcs'!$C43)-(1/HVAC!$H45))))</f>
        <v>0</v>
      </c>
    </row>
    <row r="44" spans="1:9" ht="15" x14ac:dyDescent="0.25">
      <c r="A44">
        <v>42</v>
      </c>
      <c r="B44" s="160" t="b">
        <f>IF(HVAC!$E46="High Eff. AC Unit",IF(HVAC!$G46&lt;References!$T$116,References!$L$116,IF(AND(HVAC!$G46&lt;References!$T$117,HVAC!$G46&gt;References!$S$117),References!$L$117,IF(AND(HVAC!$G46&lt;References!$T$118,HVAC!$G46&gt;References!$S$118),References!$L$118,IF(AND(HVAC!$G46&lt;References!$T$119,HVAC!$G46&gt;References!$S$119),References!$L$119,IF(HVAC!$G46&gt;References!$S$120,References!$L$120,""))))))</f>
        <v>0</v>
      </c>
      <c r="C44" s="160" t="b">
        <f>IF(HVAC!$E46="High Eff. Heat Pump Unit",IF(HVAC!$G46&lt;References!$T$121,References!$L$121,IF(AND(HVAC!$G46&lt;References!$T$122,HVAC!$G46&gt;References!$S$122),References!$L$122,IF(AND(HVAC!$G46&lt;References!$T$123,HVAC!$G46&gt;References!$S$123),References!$L$123,IF(HVAC!$G46&gt;References!$S$124,References!$L$124,"")))))</f>
        <v>0</v>
      </c>
      <c r="D44" s="160" t="b">
        <f>IF(HVAC!$E46="High Eff. AC Unit",IF(HVAC!$G46&lt;References!$T$116,References!$M$116,IF(AND(HVAC!$G46&lt;References!$T$117,HVAC!$G46&gt;References!$S$117),References!$M$117,IF(AND(HVAC!$G46&lt;References!$T$118,HVAC!$G46&gt;References!$S$118),References!$M$118,IF(AND(HVAC!$G46&lt;References!$T$119,HVAC!$G46&gt;References!$S$119),References!$M$119,IF(HVAC!$G46&gt;References!$S$120,References!$M$120,""))))))</f>
        <v>0</v>
      </c>
      <c r="E44" s="160" t="b">
        <f>IF(HVAC!$E46="High Eff. Heat Pump Unit",IF(HVAC!$G46&lt;References!$T$121,References!$M$121,IF(AND(HVAC!$G46&lt;References!$T$122,HVAC!$G46&gt;References!$S$122),References!$M$122,IF(AND(HVAC!$G46&lt;References!$T$123,HVAC!$G46&gt;References!$S$123),References!$M$123,IF(HVAC!$G46&gt;References!$S$124,References!$M$124,"")))))</f>
        <v>0</v>
      </c>
      <c r="F44" s="160" t="b">
        <f>IF(HVAC!$E46="High Eff. Heat Pump Unit",IF(HVAC!$G46&lt;References!$T$121,References!$N$121,IF(AND(HVAC!$G46&lt;References!$T$122,HVAC!$G46&gt;References!$S$122),References!$N$122,IF(AND(HVAC!$G46&lt;References!$T$123,HVAC!$G46&gt;References!$S$123),References!$N$123,IF(HVAC!$G46&gt;References!$S$124,References!$N$124,"")))))</f>
        <v>0</v>
      </c>
      <c r="H44" s="224">
        <f>IF(HVAC!$E46="High Eff. AC Unit",HVAC!$G46*References!$K$4*((1/'HVAC Calcs'!$D44)-(1/HVAC!$I46)),IF(HVAC!$E46="High Eff. Heat Pump Unit",HVAC!$G46*References!$K$5*((1/'HVAC Calcs'!$E44)-(1/HVAC!$I46))+HVAC!$G46*References!$N$5*((1/'HVAC Calcs'!$F44)-(1/HVAC!$J46)),0))</f>
        <v>0</v>
      </c>
      <c r="I44" s="225" t="b">
        <f>IF(HVAC!$E46="High Eff. AC Unit",HVAC!$G46*References!$L$4*((1/'HVAC Calcs'!$B44)-(1/HVAC!$H46)),IF(HVAC!$E46="High Eff. Heat Pump Unit",HVAC!$G46*References!$L$5*((1/'HVAC Calcs'!$C44)-(1/HVAC!$H46))))</f>
        <v>0</v>
      </c>
    </row>
    <row r="45" spans="1:9" ht="15" x14ac:dyDescent="0.25">
      <c r="A45">
        <v>43</v>
      </c>
      <c r="B45" s="160" t="b">
        <f>IF(HVAC!$E47="High Eff. AC Unit",IF(HVAC!$G47&lt;References!$T$116,References!$L$116,IF(AND(HVAC!$G47&lt;References!$T$117,HVAC!$G47&gt;References!$S$117),References!$L$117,IF(AND(HVAC!$G47&lt;References!$T$118,HVAC!$G47&gt;References!$S$118),References!$L$118,IF(AND(HVAC!$G47&lt;References!$T$119,HVAC!$G47&gt;References!$S$119),References!$L$119,IF(HVAC!$G47&gt;References!$S$120,References!$L$120,""))))))</f>
        <v>0</v>
      </c>
      <c r="C45" s="160" t="b">
        <f>IF(HVAC!$E47="High Eff. Heat Pump Unit",IF(HVAC!$G47&lt;References!$T$121,References!$L$121,IF(AND(HVAC!$G47&lt;References!$T$122,HVAC!$G47&gt;References!$S$122),References!$L$122,IF(AND(HVAC!$G47&lt;References!$T$123,HVAC!$G47&gt;References!$S$123),References!$L$123,IF(HVAC!$G47&gt;References!$S$124,References!$L$124,"")))))</f>
        <v>0</v>
      </c>
      <c r="D45" s="160" t="b">
        <f>IF(HVAC!$E47="High Eff. AC Unit",IF(HVAC!$G47&lt;References!$T$116,References!$M$116,IF(AND(HVAC!$G47&lt;References!$T$117,HVAC!$G47&gt;References!$S$117),References!$M$117,IF(AND(HVAC!$G47&lt;References!$T$118,HVAC!$G47&gt;References!$S$118),References!$M$118,IF(AND(HVAC!$G47&lt;References!$T$119,HVAC!$G47&gt;References!$S$119),References!$M$119,IF(HVAC!$G47&gt;References!$S$120,References!$M$120,""))))))</f>
        <v>0</v>
      </c>
      <c r="E45" s="160" t="b">
        <f>IF(HVAC!$E47="High Eff. Heat Pump Unit",IF(HVAC!$G47&lt;References!$T$121,References!$M$121,IF(AND(HVAC!$G47&lt;References!$T$122,HVAC!$G47&gt;References!$S$122),References!$M$122,IF(AND(HVAC!$G47&lt;References!$T$123,HVAC!$G47&gt;References!$S$123),References!$M$123,IF(HVAC!$G47&gt;References!$S$124,References!$M$124,"")))))</f>
        <v>0</v>
      </c>
      <c r="F45" s="160" t="b">
        <f>IF(HVAC!$E47="High Eff. Heat Pump Unit",IF(HVAC!$G47&lt;References!$T$121,References!$N$121,IF(AND(HVAC!$G47&lt;References!$T$122,HVAC!$G47&gt;References!$S$122),References!$N$122,IF(AND(HVAC!$G47&lt;References!$T$123,HVAC!$G47&gt;References!$S$123),References!$N$123,IF(HVAC!$G47&gt;References!$S$124,References!$N$124,"")))))</f>
        <v>0</v>
      </c>
      <c r="H45" s="224">
        <f>IF(HVAC!$E47="High Eff. AC Unit",HVAC!$G47*References!$K$4*((1/'HVAC Calcs'!$D45)-(1/HVAC!$I47)),IF(HVAC!$E47="High Eff. Heat Pump Unit",HVAC!$G47*References!$K$5*((1/'HVAC Calcs'!$E45)-(1/HVAC!$I47))+HVAC!$G47*References!$N$5*((1/'HVAC Calcs'!$F45)-(1/HVAC!$J47)),0))</f>
        <v>0</v>
      </c>
      <c r="I45" s="225" t="b">
        <f>IF(HVAC!$E47="High Eff. AC Unit",HVAC!$G47*References!$L$4*((1/'HVAC Calcs'!$B45)-(1/HVAC!$H47)),IF(HVAC!$E47="High Eff. Heat Pump Unit",HVAC!$G47*References!$L$5*((1/'HVAC Calcs'!$C45)-(1/HVAC!$H47))))</f>
        <v>0</v>
      </c>
    </row>
    <row r="46" spans="1:9" ht="15" x14ac:dyDescent="0.25">
      <c r="A46">
        <v>44</v>
      </c>
      <c r="B46" s="160" t="b">
        <f>IF(HVAC!$E48="High Eff. AC Unit",IF(HVAC!$G48&lt;References!$T$116,References!$L$116,IF(AND(HVAC!$G48&lt;References!$T$117,HVAC!$G48&gt;References!$S$117),References!$L$117,IF(AND(HVAC!$G48&lt;References!$T$118,HVAC!$G48&gt;References!$S$118),References!$L$118,IF(AND(HVAC!$G48&lt;References!$T$119,HVAC!$G48&gt;References!$S$119),References!$L$119,IF(HVAC!$G48&gt;References!$S$120,References!$L$120,""))))))</f>
        <v>0</v>
      </c>
      <c r="C46" s="160" t="b">
        <f>IF(HVAC!$E48="High Eff. Heat Pump Unit",IF(HVAC!$G48&lt;References!$T$121,References!$L$121,IF(AND(HVAC!$G48&lt;References!$T$122,HVAC!$G48&gt;References!$S$122),References!$L$122,IF(AND(HVAC!$G48&lt;References!$T$123,HVAC!$G48&gt;References!$S$123),References!$L$123,IF(HVAC!$G48&gt;References!$S$124,References!$L$124,"")))))</f>
        <v>0</v>
      </c>
      <c r="D46" s="160" t="b">
        <f>IF(HVAC!$E48="High Eff. AC Unit",IF(HVAC!$G48&lt;References!$T$116,References!$M$116,IF(AND(HVAC!$G48&lt;References!$T$117,HVAC!$G48&gt;References!$S$117),References!$M$117,IF(AND(HVAC!$G48&lt;References!$T$118,HVAC!$G48&gt;References!$S$118),References!$M$118,IF(AND(HVAC!$G48&lt;References!$T$119,HVAC!$G48&gt;References!$S$119),References!$M$119,IF(HVAC!$G48&gt;References!$S$120,References!$M$120,""))))))</f>
        <v>0</v>
      </c>
      <c r="E46" s="160" t="b">
        <f>IF(HVAC!$E48="High Eff. Heat Pump Unit",IF(HVAC!$G48&lt;References!$T$121,References!$M$121,IF(AND(HVAC!$G48&lt;References!$T$122,HVAC!$G48&gt;References!$S$122),References!$M$122,IF(AND(HVAC!$G48&lt;References!$T$123,HVAC!$G48&gt;References!$S$123),References!$M$123,IF(HVAC!$G48&gt;References!$S$124,References!$M$124,"")))))</f>
        <v>0</v>
      </c>
      <c r="F46" s="160" t="b">
        <f>IF(HVAC!$E48="High Eff. Heat Pump Unit",IF(HVAC!$G48&lt;References!$T$121,References!$N$121,IF(AND(HVAC!$G48&lt;References!$T$122,HVAC!$G48&gt;References!$S$122),References!$N$122,IF(AND(HVAC!$G48&lt;References!$T$123,HVAC!$G48&gt;References!$S$123),References!$N$123,IF(HVAC!$G48&gt;References!$S$124,References!$N$124,"")))))</f>
        <v>0</v>
      </c>
      <c r="H46" s="224">
        <f>IF(HVAC!$E48="High Eff. AC Unit",HVAC!$G48*References!$K$4*((1/'HVAC Calcs'!$D46)-(1/HVAC!$I48)),IF(HVAC!$E48="High Eff. Heat Pump Unit",HVAC!$G48*References!$K$5*((1/'HVAC Calcs'!$E46)-(1/HVAC!$I48))+HVAC!$G48*References!$N$5*((1/'HVAC Calcs'!$F46)-(1/HVAC!$J48)),0))</f>
        <v>0</v>
      </c>
      <c r="I46" s="225" t="b">
        <f>IF(HVAC!$E48="High Eff. AC Unit",HVAC!$G48*References!$L$4*((1/'HVAC Calcs'!$B46)-(1/HVAC!$H48)),IF(HVAC!$E48="High Eff. Heat Pump Unit",HVAC!$G48*References!$L$5*((1/'HVAC Calcs'!$C46)-(1/HVAC!$H48))))</f>
        <v>0</v>
      </c>
    </row>
    <row r="47" spans="1:9" ht="15" x14ac:dyDescent="0.25">
      <c r="A47">
        <v>45</v>
      </c>
      <c r="B47" s="160" t="b">
        <f>IF(HVAC!$E49="High Eff. AC Unit",IF(HVAC!$G49&lt;References!$T$116,References!$L$116,IF(AND(HVAC!$G49&lt;References!$T$117,HVAC!$G49&gt;References!$S$117),References!$L$117,IF(AND(HVAC!$G49&lt;References!$T$118,HVAC!$G49&gt;References!$S$118),References!$L$118,IF(AND(HVAC!$G49&lt;References!$T$119,HVAC!$G49&gt;References!$S$119),References!$L$119,IF(HVAC!$G49&gt;References!$S$120,References!$L$120,""))))))</f>
        <v>0</v>
      </c>
      <c r="C47" s="160" t="b">
        <f>IF(HVAC!$E49="High Eff. Heat Pump Unit",IF(HVAC!$G49&lt;References!$T$121,References!$L$121,IF(AND(HVAC!$G49&lt;References!$T$122,HVAC!$G49&gt;References!$S$122),References!$L$122,IF(AND(HVAC!$G49&lt;References!$T$123,HVAC!$G49&gt;References!$S$123),References!$L$123,IF(HVAC!$G49&gt;References!$S$124,References!$L$124,"")))))</f>
        <v>0</v>
      </c>
      <c r="D47" s="160" t="b">
        <f>IF(HVAC!$E49="High Eff. AC Unit",IF(HVAC!$G49&lt;References!$T$116,References!$M$116,IF(AND(HVAC!$G49&lt;References!$T$117,HVAC!$G49&gt;References!$S$117),References!$M$117,IF(AND(HVAC!$G49&lt;References!$T$118,HVAC!$G49&gt;References!$S$118),References!$M$118,IF(AND(HVAC!$G49&lt;References!$T$119,HVAC!$G49&gt;References!$S$119),References!$M$119,IF(HVAC!$G49&gt;References!$S$120,References!$M$120,""))))))</f>
        <v>0</v>
      </c>
      <c r="E47" s="160" t="b">
        <f>IF(HVAC!$E49="High Eff. Heat Pump Unit",IF(HVAC!$G49&lt;References!$T$121,References!$M$121,IF(AND(HVAC!$G49&lt;References!$T$122,HVAC!$G49&gt;References!$S$122),References!$M$122,IF(AND(HVAC!$G49&lt;References!$T$123,HVAC!$G49&gt;References!$S$123),References!$M$123,IF(HVAC!$G49&gt;References!$S$124,References!$M$124,"")))))</f>
        <v>0</v>
      </c>
      <c r="F47" s="160" t="b">
        <f>IF(HVAC!$E49="High Eff. Heat Pump Unit",IF(HVAC!$G49&lt;References!$T$121,References!$N$121,IF(AND(HVAC!$G49&lt;References!$T$122,HVAC!$G49&gt;References!$S$122),References!$N$122,IF(AND(HVAC!$G49&lt;References!$T$123,HVAC!$G49&gt;References!$S$123),References!$N$123,IF(HVAC!$G49&gt;References!$S$124,References!$N$124,"")))))</f>
        <v>0</v>
      </c>
      <c r="H47" s="224">
        <f>IF(HVAC!$E49="High Eff. AC Unit",HVAC!$G49*References!$K$4*((1/'HVAC Calcs'!$D47)-(1/HVAC!$I49)),IF(HVAC!$E49="High Eff. Heat Pump Unit",HVAC!$G49*References!$K$5*((1/'HVAC Calcs'!$E47)-(1/HVAC!$I49))+HVAC!$G49*References!$N$5*((1/'HVAC Calcs'!$F47)-(1/HVAC!$J49)),0))</f>
        <v>0</v>
      </c>
      <c r="I47" s="225" t="b">
        <f>IF(HVAC!$E49="High Eff. AC Unit",HVAC!$G49*References!$L$4*((1/'HVAC Calcs'!$B47)-(1/HVAC!$H49)),IF(HVAC!$E49="High Eff. Heat Pump Unit",HVAC!$G49*References!$L$5*((1/'HVAC Calcs'!$C47)-(1/HVAC!$H49))))</f>
        <v>0</v>
      </c>
    </row>
    <row r="48" spans="1:9" ht="15" x14ac:dyDescent="0.25">
      <c r="A48">
        <v>46</v>
      </c>
      <c r="B48" s="160" t="b">
        <f>IF(HVAC!$E50="High Eff. AC Unit",IF(HVAC!$G50&lt;References!$T$116,References!$L$116,IF(AND(HVAC!$G50&lt;References!$T$117,HVAC!$G50&gt;References!$S$117),References!$L$117,IF(AND(HVAC!$G50&lt;References!$T$118,HVAC!$G50&gt;References!$S$118),References!$L$118,IF(AND(HVAC!$G50&lt;References!$T$119,HVAC!$G50&gt;References!$S$119),References!$L$119,IF(HVAC!$G50&gt;References!$S$120,References!$L$120,""))))))</f>
        <v>0</v>
      </c>
      <c r="C48" s="160" t="b">
        <f>IF(HVAC!$E50="High Eff. Heat Pump Unit",IF(HVAC!$G50&lt;References!$T$121,References!$L$121,IF(AND(HVAC!$G50&lt;References!$T$122,HVAC!$G50&gt;References!$S$122),References!$L$122,IF(AND(HVAC!$G50&lt;References!$T$123,HVAC!$G50&gt;References!$S$123),References!$L$123,IF(HVAC!$G50&gt;References!$S$124,References!$L$124,"")))))</f>
        <v>0</v>
      </c>
      <c r="D48" s="160" t="b">
        <f>IF(HVAC!$E50="High Eff. AC Unit",IF(HVAC!$G50&lt;References!$T$116,References!$M$116,IF(AND(HVAC!$G50&lt;References!$T$117,HVAC!$G50&gt;References!$S$117),References!$M$117,IF(AND(HVAC!$G50&lt;References!$T$118,HVAC!$G50&gt;References!$S$118),References!$M$118,IF(AND(HVAC!$G50&lt;References!$T$119,HVAC!$G50&gt;References!$S$119),References!$M$119,IF(HVAC!$G50&gt;References!$S$120,References!$M$120,""))))))</f>
        <v>0</v>
      </c>
      <c r="E48" s="160" t="b">
        <f>IF(HVAC!$E50="High Eff. Heat Pump Unit",IF(HVAC!$G50&lt;References!$T$121,References!$M$121,IF(AND(HVAC!$G50&lt;References!$T$122,HVAC!$G50&gt;References!$S$122),References!$M$122,IF(AND(HVAC!$G50&lt;References!$T$123,HVAC!$G50&gt;References!$S$123),References!$M$123,IF(HVAC!$G50&gt;References!$S$124,References!$M$124,"")))))</f>
        <v>0</v>
      </c>
      <c r="F48" s="160" t="b">
        <f>IF(HVAC!$E50="High Eff. Heat Pump Unit",IF(HVAC!$G50&lt;References!$T$121,References!$N$121,IF(AND(HVAC!$G50&lt;References!$T$122,HVAC!$G50&gt;References!$S$122),References!$N$122,IF(AND(HVAC!$G50&lt;References!$T$123,HVAC!$G50&gt;References!$S$123),References!$N$123,IF(HVAC!$G50&gt;References!$S$124,References!$N$124,"")))))</f>
        <v>0</v>
      </c>
      <c r="H48" s="224">
        <f>IF(HVAC!$E50="High Eff. AC Unit",HVAC!$G50*References!$K$4*((1/'HVAC Calcs'!$D48)-(1/HVAC!$I50)),IF(HVAC!$E50="High Eff. Heat Pump Unit",HVAC!$G50*References!$K$5*((1/'HVAC Calcs'!$E48)-(1/HVAC!$I50))+HVAC!$G50*References!$N$5*((1/'HVAC Calcs'!$F48)-(1/HVAC!$J50)),0))</f>
        <v>0</v>
      </c>
      <c r="I48" s="225" t="b">
        <f>IF(HVAC!$E50="High Eff. AC Unit",HVAC!$G50*References!$L$4*((1/'HVAC Calcs'!$B48)-(1/HVAC!$H50)),IF(HVAC!$E50="High Eff. Heat Pump Unit",HVAC!$G50*References!$L$5*((1/'HVAC Calcs'!$C48)-(1/HVAC!$H50))))</f>
        <v>0</v>
      </c>
    </row>
    <row r="49" spans="1:9" ht="15" x14ac:dyDescent="0.25">
      <c r="A49">
        <v>47</v>
      </c>
      <c r="B49" s="160" t="b">
        <f>IF(HVAC!$E51="High Eff. AC Unit",IF(HVAC!$G51&lt;References!$T$116,References!$L$116,IF(AND(HVAC!$G51&lt;References!$T$117,HVAC!$G51&gt;References!$S$117),References!$L$117,IF(AND(HVAC!$G51&lt;References!$T$118,HVAC!$G51&gt;References!$S$118),References!$L$118,IF(AND(HVAC!$G51&lt;References!$T$119,HVAC!$G51&gt;References!$S$119),References!$L$119,IF(HVAC!$G51&gt;References!$S$120,References!$L$120,""))))))</f>
        <v>0</v>
      </c>
      <c r="C49" s="160" t="b">
        <f>IF(HVAC!$E51="High Eff. Heat Pump Unit",IF(HVAC!$G51&lt;References!$T$121,References!$L$121,IF(AND(HVAC!$G51&lt;References!$T$122,HVAC!$G51&gt;References!$S$122),References!$L$122,IF(AND(HVAC!$G51&lt;References!$T$123,HVAC!$G51&gt;References!$S$123),References!$L$123,IF(HVAC!$G51&gt;References!$S$124,References!$L$124,"")))))</f>
        <v>0</v>
      </c>
      <c r="D49" s="160" t="b">
        <f>IF(HVAC!$E51="High Eff. AC Unit",IF(HVAC!$G51&lt;References!$T$116,References!$M$116,IF(AND(HVAC!$G51&lt;References!$T$117,HVAC!$G51&gt;References!$S$117),References!$M$117,IF(AND(HVAC!$G51&lt;References!$T$118,HVAC!$G51&gt;References!$S$118),References!$M$118,IF(AND(HVAC!$G51&lt;References!$T$119,HVAC!$G51&gt;References!$S$119),References!$M$119,IF(HVAC!$G51&gt;References!$S$120,References!$M$120,""))))))</f>
        <v>0</v>
      </c>
      <c r="E49" s="160" t="b">
        <f>IF(HVAC!$E51="High Eff. Heat Pump Unit",IF(HVAC!$G51&lt;References!$T$121,References!$M$121,IF(AND(HVAC!$G51&lt;References!$T$122,HVAC!$G51&gt;References!$S$122),References!$M$122,IF(AND(HVAC!$G51&lt;References!$T$123,HVAC!$G51&gt;References!$S$123),References!$M$123,IF(HVAC!$G51&gt;References!$S$124,References!$M$124,"")))))</f>
        <v>0</v>
      </c>
      <c r="F49" s="160" t="b">
        <f>IF(HVAC!$E51="High Eff. Heat Pump Unit",IF(HVAC!$G51&lt;References!$T$121,References!$N$121,IF(AND(HVAC!$G51&lt;References!$T$122,HVAC!$G51&gt;References!$S$122),References!$N$122,IF(AND(HVAC!$G51&lt;References!$T$123,HVAC!$G51&gt;References!$S$123),References!$N$123,IF(HVAC!$G51&gt;References!$S$124,References!$N$124,"")))))</f>
        <v>0</v>
      </c>
      <c r="H49" s="224">
        <f>IF(HVAC!$E51="High Eff. AC Unit",HVAC!$G51*References!$K$4*((1/'HVAC Calcs'!$D49)-(1/HVAC!$I51)),IF(HVAC!$E51="High Eff. Heat Pump Unit",HVAC!$G51*References!$K$5*((1/'HVAC Calcs'!$E49)-(1/HVAC!$I51))+HVAC!$G51*References!$N$5*((1/'HVAC Calcs'!$F49)-(1/HVAC!$J51)),0))</f>
        <v>0</v>
      </c>
      <c r="I49" s="225" t="b">
        <f>IF(HVAC!$E51="High Eff. AC Unit",HVAC!$G51*References!$L$4*((1/'HVAC Calcs'!$B49)-(1/HVAC!$H51)),IF(HVAC!$E51="High Eff. Heat Pump Unit",HVAC!$G51*References!$L$5*((1/'HVAC Calcs'!$C49)-(1/HVAC!$H51))))</f>
        <v>0</v>
      </c>
    </row>
    <row r="50" spans="1:9" ht="15" x14ac:dyDescent="0.25">
      <c r="A50">
        <v>48</v>
      </c>
      <c r="B50" s="160" t="b">
        <f>IF(HVAC!$E52="High Eff. AC Unit",IF(HVAC!$G52&lt;References!$T$116,References!$L$116,IF(AND(HVAC!$G52&lt;References!$T$117,HVAC!$G52&gt;References!$S$117),References!$L$117,IF(AND(HVAC!$G52&lt;References!$T$118,HVAC!$G52&gt;References!$S$118),References!$L$118,IF(AND(HVAC!$G52&lt;References!$T$119,HVAC!$G52&gt;References!$S$119),References!$L$119,IF(HVAC!$G52&gt;References!$S$120,References!$L$120,""))))))</f>
        <v>0</v>
      </c>
      <c r="C50" s="160" t="b">
        <f>IF(HVAC!$E52="High Eff. Heat Pump Unit",IF(HVAC!$G52&lt;References!$T$121,References!$L$121,IF(AND(HVAC!$G52&lt;References!$T$122,HVAC!$G52&gt;References!$S$122),References!$L$122,IF(AND(HVAC!$G52&lt;References!$T$123,HVAC!$G52&gt;References!$S$123),References!$L$123,IF(HVAC!$G52&gt;References!$S$124,References!$L$124,"")))))</f>
        <v>0</v>
      </c>
      <c r="D50" s="160" t="b">
        <f>IF(HVAC!$E52="High Eff. AC Unit",IF(HVAC!$G52&lt;References!$T$116,References!$M$116,IF(AND(HVAC!$G52&lt;References!$T$117,HVAC!$G52&gt;References!$S$117),References!$M$117,IF(AND(HVAC!$G52&lt;References!$T$118,HVAC!$G52&gt;References!$S$118),References!$M$118,IF(AND(HVAC!$G52&lt;References!$T$119,HVAC!$G52&gt;References!$S$119),References!$M$119,IF(HVAC!$G52&gt;References!$S$120,References!$M$120,""))))))</f>
        <v>0</v>
      </c>
      <c r="E50" s="160" t="b">
        <f>IF(HVAC!$E52="High Eff. Heat Pump Unit",IF(HVAC!$G52&lt;References!$T$121,References!$M$121,IF(AND(HVAC!$G52&lt;References!$T$122,HVAC!$G52&gt;References!$S$122),References!$M$122,IF(AND(HVAC!$G52&lt;References!$T$123,HVAC!$G52&gt;References!$S$123),References!$M$123,IF(HVAC!$G52&gt;References!$S$124,References!$M$124,"")))))</f>
        <v>0</v>
      </c>
      <c r="F50" s="160" t="b">
        <f>IF(HVAC!$E52="High Eff. Heat Pump Unit",IF(HVAC!$G52&lt;References!$T$121,References!$N$121,IF(AND(HVAC!$G52&lt;References!$T$122,HVAC!$G52&gt;References!$S$122),References!$N$122,IF(AND(HVAC!$G52&lt;References!$T$123,HVAC!$G52&gt;References!$S$123),References!$N$123,IF(HVAC!$G52&gt;References!$S$124,References!$N$124,"")))))</f>
        <v>0</v>
      </c>
      <c r="H50" s="224">
        <f>IF(HVAC!$E52="High Eff. AC Unit",HVAC!$G52*References!$K$4*((1/'HVAC Calcs'!$D50)-(1/HVAC!$I52)),IF(HVAC!$E52="High Eff. Heat Pump Unit",HVAC!$G52*References!$K$5*((1/'HVAC Calcs'!$E50)-(1/HVAC!$I52))+HVAC!$G52*References!$N$5*((1/'HVAC Calcs'!$F50)-(1/HVAC!$J52)),0))</f>
        <v>0</v>
      </c>
      <c r="I50" s="225" t="b">
        <f>IF(HVAC!$E52="High Eff. AC Unit",HVAC!$G52*References!$L$4*((1/'HVAC Calcs'!$B50)-(1/HVAC!$H52)),IF(HVAC!$E52="High Eff. Heat Pump Unit",HVAC!$G52*References!$L$5*((1/'HVAC Calcs'!$C50)-(1/HVAC!$H52))))</f>
        <v>0</v>
      </c>
    </row>
    <row r="51" spans="1:9" ht="15" x14ac:dyDescent="0.25">
      <c r="A51">
        <v>49</v>
      </c>
      <c r="B51" s="160" t="b">
        <f>IF(HVAC!$E53="High Eff. AC Unit",IF(HVAC!$G53&lt;References!$T$116,References!$L$116,IF(AND(HVAC!$G53&lt;References!$T$117,HVAC!$G53&gt;References!$S$117),References!$L$117,IF(AND(HVAC!$G53&lt;References!$T$118,HVAC!$G53&gt;References!$S$118),References!$L$118,IF(AND(HVAC!$G53&lt;References!$T$119,HVAC!$G53&gt;References!$S$119),References!$L$119,IF(HVAC!$G53&gt;References!$S$120,References!$L$120,""))))))</f>
        <v>0</v>
      </c>
      <c r="C51" s="160" t="b">
        <f>IF(HVAC!$E53="High Eff. Heat Pump Unit",IF(HVAC!$G53&lt;References!$T$121,References!$L$121,IF(AND(HVAC!$G53&lt;References!$T$122,HVAC!$G53&gt;References!$S$122),References!$L$122,IF(AND(HVAC!$G53&lt;References!$T$123,HVAC!$G53&gt;References!$S$123),References!$L$123,IF(HVAC!$G53&gt;References!$S$124,References!$L$124,"")))))</f>
        <v>0</v>
      </c>
      <c r="D51" s="160" t="b">
        <f>IF(HVAC!$E53="High Eff. AC Unit",IF(HVAC!$G53&lt;References!$T$116,References!$M$116,IF(AND(HVAC!$G53&lt;References!$T$117,HVAC!$G53&gt;References!$S$117),References!$M$117,IF(AND(HVAC!$G53&lt;References!$T$118,HVAC!$G53&gt;References!$S$118),References!$M$118,IF(AND(HVAC!$G53&lt;References!$T$119,HVAC!$G53&gt;References!$S$119),References!$M$119,IF(HVAC!$G53&gt;References!$S$120,References!$M$120,""))))))</f>
        <v>0</v>
      </c>
      <c r="E51" s="160" t="b">
        <f>IF(HVAC!$E53="High Eff. Heat Pump Unit",IF(HVAC!$G53&lt;References!$T$121,References!$M$121,IF(AND(HVAC!$G53&lt;References!$T$122,HVAC!$G53&gt;References!$S$122),References!$M$122,IF(AND(HVAC!$G53&lt;References!$T$123,HVAC!$G53&gt;References!$S$123),References!$M$123,IF(HVAC!$G53&gt;References!$S$124,References!$M$124,"")))))</f>
        <v>0</v>
      </c>
      <c r="F51" s="160" t="b">
        <f>IF(HVAC!$E53="High Eff. Heat Pump Unit",IF(HVAC!$G53&lt;References!$T$121,References!$N$121,IF(AND(HVAC!$G53&lt;References!$T$122,HVAC!$G53&gt;References!$S$122),References!$N$122,IF(AND(HVAC!$G53&lt;References!$T$123,HVAC!$G53&gt;References!$S$123),References!$N$123,IF(HVAC!$G53&gt;References!$S$124,References!$N$124,"")))))</f>
        <v>0</v>
      </c>
      <c r="H51" s="224">
        <f>IF(HVAC!$E53="High Eff. AC Unit",HVAC!$G53*References!$K$4*((1/'HVAC Calcs'!$D51)-(1/HVAC!$I53)),IF(HVAC!$E53="High Eff. Heat Pump Unit",HVAC!$G53*References!$K$5*((1/'HVAC Calcs'!$E51)-(1/HVAC!$I53))+HVAC!$G53*References!$N$5*((1/'HVAC Calcs'!$F51)-(1/HVAC!$J53)),0))</f>
        <v>0</v>
      </c>
      <c r="I51" s="225" t="b">
        <f>IF(HVAC!$E53="High Eff. AC Unit",HVAC!$G53*References!$L$4*((1/'HVAC Calcs'!$B51)-(1/HVAC!$H53)),IF(HVAC!$E53="High Eff. Heat Pump Unit",HVAC!$G53*References!$L$5*((1/'HVAC Calcs'!$C51)-(1/HVAC!$H53))))</f>
        <v>0</v>
      </c>
    </row>
    <row r="52" spans="1:9" ht="15" x14ac:dyDescent="0.25">
      <c r="A52">
        <v>50</v>
      </c>
      <c r="B52" s="160" t="b">
        <f>IF(HVAC!$E54="High Eff. AC Unit",IF(HVAC!$G54&lt;References!$T$116,References!$L$116,IF(AND(HVAC!$G54&lt;References!$T$117,HVAC!$G54&gt;References!$S$117),References!$L$117,IF(AND(HVAC!$G54&lt;References!$T$118,HVAC!$G54&gt;References!$S$118),References!$L$118,IF(AND(HVAC!$G54&lt;References!$T$119,HVAC!$G54&gt;References!$S$119),References!$L$119,IF(HVAC!$G54&gt;References!$S$120,References!$L$120,""))))))</f>
        <v>0</v>
      </c>
      <c r="C52" s="160" t="b">
        <f>IF(HVAC!$E54="High Eff. Heat Pump Unit",IF(HVAC!$G54&lt;References!$T$121,References!$L$121,IF(AND(HVAC!$G54&lt;References!$T$122,HVAC!$G54&gt;References!$S$122),References!$L$122,IF(AND(HVAC!$G54&lt;References!$T$123,HVAC!$G54&gt;References!$S$123),References!$L$123,IF(HVAC!$G54&gt;References!$S$124,References!$L$124,"")))))</f>
        <v>0</v>
      </c>
      <c r="D52" s="160" t="b">
        <f>IF(HVAC!$E54="High Eff. AC Unit",IF(HVAC!$G54&lt;References!$T$116,References!$M$116,IF(AND(HVAC!$G54&lt;References!$T$117,HVAC!$G54&gt;References!$S$117),References!$M$117,IF(AND(HVAC!$G54&lt;References!$T$118,HVAC!$G54&gt;References!$S$118),References!$M$118,IF(AND(HVAC!$G54&lt;References!$T$119,HVAC!$G54&gt;References!$S$119),References!$M$119,IF(HVAC!$G54&gt;References!$S$120,References!$M$120,""))))))</f>
        <v>0</v>
      </c>
      <c r="E52" s="160" t="b">
        <f>IF(HVAC!$E54="High Eff. Heat Pump Unit",IF(HVAC!$G54&lt;References!$T$121,References!$M$121,IF(AND(HVAC!$G54&lt;References!$T$122,HVAC!$G54&gt;References!$S$122),References!$M$122,IF(AND(HVAC!$G54&lt;References!$T$123,HVAC!$G54&gt;References!$S$123),References!$M$123,IF(HVAC!$G54&gt;References!$S$124,References!$M$124,"")))))</f>
        <v>0</v>
      </c>
      <c r="F52" s="160" t="b">
        <f>IF(HVAC!$E54="High Eff. Heat Pump Unit",IF(HVAC!$G54&lt;References!$T$121,References!$N$121,IF(AND(HVAC!$G54&lt;References!$T$122,HVAC!$G54&gt;References!$S$122),References!$N$122,IF(AND(HVAC!$G54&lt;References!$T$123,HVAC!$G54&gt;References!$S$123),References!$N$123,IF(HVAC!$G54&gt;References!$S$124,References!$N$124,"")))))</f>
        <v>0</v>
      </c>
      <c r="H52" s="224">
        <f>IF(HVAC!$E54="High Eff. AC Unit",HVAC!$G54*References!$K$4*((1/'HVAC Calcs'!$D52)-(1/HVAC!$I54)),IF(HVAC!$E54="High Eff. Heat Pump Unit",HVAC!$G54*References!$K$5*((1/'HVAC Calcs'!$E52)-(1/HVAC!$I54))+HVAC!$G54*References!$N$5*((1/'HVAC Calcs'!$F52)-(1/HVAC!$J54)),0))</f>
        <v>0</v>
      </c>
      <c r="I52" s="225" t="b">
        <f>IF(HVAC!$E54="High Eff. AC Unit",HVAC!$G54*References!$L$4*((1/'HVAC Calcs'!$B52)-(1/HVAC!$H54)),IF(HVAC!$E54="High Eff. Heat Pump Unit",HVAC!$G54*References!$L$5*((1/'HVAC Calcs'!$C52)-(1/HVAC!$H54))))</f>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243AF-B3CC-4D4A-8040-5F839DF34AFA}">
  <sheetPr>
    <tabColor rgb="FFFF0000"/>
  </sheetPr>
  <dimension ref="A1:O16"/>
  <sheetViews>
    <sheetView workbookViewId="0">
      <selection activeCell="L3" sqref="L3:O3"/>
    </sheetView>
  </sheetViews>
  <sheetFormatPr defaultRowHeight="12.75" x14ac:dyDescent="0.2"/>
  <cols>
    <col min="1" max="1" width="15.42578125" bestFit="1" customWidth="1"/>
    <col min="2" max="2" width="27.140625" bestFit="1" customWidth="1"/>
    <col min="3" max="3" width="18.5703125" customWidth="1"/>
    <col min="4" max="4" width="19.5703125" customWidth="1"/>
    <col min="5" max="5" width="22.140625" customWidth="1"/>
    <col min="6" max="6" width="12.5703125" customWidth="1"/>
    <col min="7" max="7" width="18.5703125" customWidth="1"/>
    <col min="8" max="8" width="17.28515625" customWidth="1"/>
    <col min="9" max="9" width="11.85546875" customWidth="1"/>
    <col min="12" max="12" width="12" bestFit="1" customWidth="1"/>
    <col min="13" max="13" width="18.5703125" bestFit="1" customWidth="1"/>
    <col min="14" max="14" width="16.28515625" bestFit="1" customWidth="1"/>
    <col min="15" max="15" width="12" bestFit="1" customWidth="1"/>
  </cols>
  <sheetData>
    <row r="1" spans="1:15" ht="14.25" thickTop="1" thickBot="1" x14ac:dyDescent="0.25">
      <c r="A1" s="320" t="s">
        <v>471</v>
      </c>
      <c r="B1" s="320"/>
      <c r="L1" s="320" t="s">
        <v>472</v>
      </c>
      <c r="M1" s="320"/>
    </row>
    <row r="2" spans="1:15" s="10" customFormat="1" ht="26.25" thickTop="1" x14ac:dyDescent="0.2">
      <c r="A2" s="87" t="s">
        <v>473</v>
      </c>
      <c r="B2" s="87" t="s">
        <v>132</v>
      </c>
      <c r="C2" s="87" t="s">
        <v>474</v>
      </c>
      <c r="D2" s="87" t="s">
        <v>475</v>
      </c>
      <c r="E2" s="87" t="s">
        <v>476</v>
      </c>
      <c r="F2" s="87" t="s">
        <v>477</v>
      </c>
      <c r="G2" s="87" t="s">
        <v>478</v>
      </c>
      <c r="H2" s="87" t="s">
        <v>479</v>
      </c>
      <c r="I2" s="87" t="s">
        <v>480</v>
      </c>
      <c r="J2" s="87" t="s">
        <v>481</v>
      </c>
      <c r="L2" t="s">
        <v>482</v>
      </c>
      <c r="M2" t="s">
        <v>483</v>
      </c>
      <c r="N2" t="s">
        <v>484</v>
      </c>
      <c r="O2" t="s">
        <v>485</v>
      </c>
    </row>
    <row r="3" spans="1:15" x14ac:dyDescent="0.2">
      <c r="A3" t="s">
        <v>222</v>
      </c>
      <c r="B3" t="s">
        <v>486</v>
      </c>
      <c r="C3" s="149">
        <f>HVAC!N3</f>
        <v>0</v>
      </c>
      <c r="D3" s="147">
        <f>HVAC!O3</f>
        <v>0</v>
      </c>
      <c r="E3" s="148">
        <f>HVAC!P3</f>
        <v>0</v>
      </c>
      <c r="F3" s="149">
        <f>HVAC!Q3</f>
        <v>0</v>
      </c>
      <c r="G3" s="149">
        <f>HVAC!R3</f>
        <v>0</v>
      </c>
      <c r="H3" s="149">
        <f>HVAC!S3</f>
        <v>0</v>
      </c>
      <c r="I3" s="89" t="e">
        <f>Table_Measure_Caps[[#This Row],[Estimated Raw Incentive Total]]/Table_Measure_Caps[[#This Row],[Gross Measure Cost Total]]</f>
        <v>#DIV/0!</v>
      </c>
      <c r="J3" s="88" t="e">
        <f>Table_Measure_Caps[[#This Row],[Estimated Raw Incentive Total]]*MIN(Table_Measure_Caps[[#Totals],[Estimated Raw Incentive Total]], Table_Measure_Caps[[#Totals],[Gross Measure Cost Total]], Value_Project_CAP)/Table_Measure_Caps[[#Totals],[Estimated Raw Incentive Total]]</f>
        <v>#DIV/0!</v>
      </c>
      <c r="K3" s="88"/>
      <c r="L3" s="107"/>
      <c r="M3" s="34"/>
      <c r="N3" s="34"/>
      <c r="O3" s="34"/>
    </row>
    <row r="4" spans="1:15" x14ac:dyDescent="0.2">
      <c r="A4" t="s">
        <v>344</v>
      </c>
      <c r="B4" t="s">
        <v>487</v>
      </c>
      <c r="C4" s="149">
        <f>Refrigeration!K4</f>
        <v>0</v>
      </c>
      <c r="D4" s="147">
        <f>Refrigeration!L4</f>
        <v>0</v>
      </c>
      <c r="E4" s="148">
        <f>Refrigeration!M4</f>
        <v>0</v>
      </c>
      <c r="F4" s="149">
        <f>Refrigeration!N4</f>
        <v>0</v>
      </c>
      <c r="G4" s="149">
        <f>Refrigeration!O4</f>
        <v>0</v>
      </c>
      <c r="H4" s="149">
        <f>Refrigeration!P4</f>
        <v>0</v>
      </c>
      <c r="I4" s="89" t="e">
        <f>Table_Measure_Caps[[#This Row],[Estimated Raw Incentive Total]]/Table_Measure_Caps[[#This Row],[Gross Measure Cost Total]]</f>
        <v>#DIV/0!</v>
      </c>
      <c r="J4" s="88" t="e">
        <f>Table_Measure_Caps[[#This Row],[Estimated Raw Incentive Total]]*MIN(Table_Measure_Caps[[#Totals],[Estimated Raw Incentive Total]], Table_Measure_Caps[[#Totals],[Gross Measure Cost Total]], Value_Project_CAP)/Table_Measure_Caps[[#Totals],[Estimated Raw Incentive Total]]</f>
        <v>#DIV/0!</v>
      </c>
      <c r="K4" s="88"/>
    </row>
    <row r="5" spans="1:15" x14ac:dyDescent="0.2">
      <c r="A5" t="s">
        <v>488</v>
      </c>
      <c r="B5" t="s">
        <v>489</v>
      </c>
      <c r="C5" s="149">
        <f>'Com Kitchen'!K3</f>
        <v>0</v>
      </c>
      <c r="D5" s="147">
        <f>'Com Kitchen'!L3</f>
        <v>0</v>
      </c>
      <c r="E5" s="148">
        <f>'Com Kitchen'!M3</f>
        <v>0</v>
      </c>
      <c r="F5" s="149">
        <f>'Com Kitchen'!N3</f>
        <v>0</v>
      </c>
      <c r="G5" s="149">
        <f>'Com Kitchen'!O3</f>
        <v>0</v>
      </c>
      <c r="H5" s="149">
        <f>'Com Kitchen'!P3</f>
        <v>0</v>
      </c>
      <c r="I5" s="89" t="e">
        <f>Table_Measure_Caps[[#This Row],[Estimated Raw Incentive Total]]/Table_Measure_Caps[[#This Row],[Gross Measure Cost Total]]</f>
        <v>#DIV/0!</v>
      </c>
      <c r="J5" s="88" t="e">
        <f>Table_Measure_Caps[[#This Row],[Estimated Raw Incentive Total]]*MIN(Table_Measure_Caps[[#Totals],[Estimated Raw Incentive Total]], Table_Measure_Caps[[#Totals],[Gross Measure Cost Total]], Value_Project_CAP)/Table_Measure_Caps[[#Totals],[Estimated Raw Incentive Total]]</f>
        <v>#DIV/0!</v>
      </c>
      <c r="K5" s="88"/>
    </row>
    <row r="6" spans="1:15" x14ac:dyDescent="0.2">
      <c r="A6" t="s">
        <v>405</v>
      </c>
      <c r="B6" t="s">
        <v>490</v>
      </c>
      <c r="C6" s="149">
        <f>'Window Film'!L3</f>
        <v>0</v>
      </c>
      <c r="D6" s="147">
        <f>'Window Film'!M3</f>
        <v>0</v>
      </c>
      <c r="E6" s="148">
        <f>'Window Film'!N3</f>
        <v>0</v>
      </c>
      <c r="F6" s="149">
        <f>'Window Film'!O3</f>
        <v>0</v>
      </c>
      <c r="G6" s="149">
        <f>'Window Film'!P3</f>
        <v>0</v>
      </c>
      <c r="H6" s="149">
        <f>'Window Film'!Q3</f>
        <v>0</v>
      </c>
      <c r="I6" s="89" t="e">
        <f>Table_Measure_Caps[[#This Row],[Estimated Raw Incentive Total]]/Table_Measure_Caps[[#This Row],[Gross Measure Cost Total]]</f>
        <v>#DIV/0!</v>
      </c>
      <c r="J6" s="88" t="e">
        <f>Table_Measure_Caps[[#This Row],[Estimated Raw Incentive Total]]*MIN(Table_Measure_Caps[[#Totals],[Estimated Raw Incentive Total]], Table_Measure_Caps[[#Totals],[Gross Measure Cost Total]], Value_Project_CAP)/Table_Measure_Caps[[#Totals],[Estimated Raw Incentive Total]]</f>
        <v>#DIV/0!</v>
      </c>
      <c r="K6" s="88"/>
    </row>
    <row r="7" spans="1:15" x14ac:dyDescent="0.2">
      <c r="A7" t="s">
        <v>409</v>
      </c>
      <c r="B7" t="s">
        <v>491</v>
      </c>
      <c r="C7" s="149">
        <f>Misc!K3</f>
        <v>0</v>
      </c>
      <c r="D7" s="147">
        <f>Misc!L3</f>
        <v>0</v>
      </c>
      <c r="E7" s="148">
        <f>Misc!M3</f>
        <v>0</v>
      </c>
      <c r="F7" s="149">
        <f>Misc!N3</f>
        <v>0</v>
      </c>
      <c r="G7" s="149">
        <f>Misc!O3</f>
        <v>0</v>
      </c>
      <c r="H7" s="149">
        <f>Misc!P3</f>
        <v>0</v>
      </c>
      <c r="I7" s="89" t="e">
        <f>Table_Measure_Caps[[#This Row],[Estimated Raw Incentive Total]]/Table_Measure_Caps[[#This Row],[Gross Measure Cost Total]]</f>
        <v>#DIV/0!</v>
      </c>
      <c r="J7" s="88" t="e">
        <f>Table_Measure_Caps[[#This Row],[Estimated Raw Incentive Total]]*MIN(Table_Measure_Caps[[#Totals],[Estimated Raw Incentive Total]], Table_Measure_Caps[[#Totals],[Gross Measure Cost Total]], Value_Project_CAP)/Table_Measure_Caps[[#Totals],[Estimated Raw Incentive Total]]</f>
        <v>#DIV/0!</v>
      </c>
    </row>
    <row r="8" spans="1:15" x14ac:dyDescent="0.2">
      <c r="A8" t="s">
        <v>410</v>
      </c>
      <c r="B8" t="s">
        <v>410</v>
      </c>
      <c r="C8" s="149">
        <f>Custom!R3</f>
        <v>0</v>
      </c>
      <c r="D8" s="147">
        <f>Custom!S3</f>
        <v>0</v>
      </c>
      <c r="E8" s="148">
        <f>Custom!T3</f>
        <v>0</v>
      </c>
      <c r="F8" s="149">
        <f>Custom!U3</f>
        <v>0</v>
      </c>
      <c r="G8" s="149">
        <f>Custom!V3</f>
        <v>0</v>
      </c>
      <c r="H8" s="149">
        <f>Custom!W3</f>
        <v>0</v>
      </c>
      <c r="I8" s="89" t="e">
        <f>Table_Measure_Caps[[#This Row],[Estimated Raw Incentive Total]]/Table_Measure_Caps[[#This Row],[Gross Measure Cost Total]]</f>
        <v>#DIV/0!</v>
      </c>
      <c r="J8" s="88" t="e">
        <f>Table_Measure_Caps[[#This Row],[Estimated Raw Incentive Total]]*MIN(Table_Measure_Caps[[#Totals],[Estimated Raw Incentive Total]], Table_Measure_Caps[[#Totals],[Gross Measure Cost Total]], Value_Project_CAP)/Table_Measure_Caps[[#Totals],[Estimated Raw Incentive Total]]</f>
        <v>#DIV/0!</v>
      </c>
    </row>
    <row r="9" spans="1:15" x14ac:dyDescent="0.2">
      <c r="A9" t="s">
        <v>161</v>
      </c>
      <c r="C9" s="149">
        <f>SUBTOTAL(109,Table_Measure_Caps[Estimated Raw Incentive Total])</f>
        <v>0</v>
      </c>
      <c r="D9" s="147">
        <f>SUBTOTAL(109,Table_Measure_Caps[Energy Savings Total (kWh)])</f>
        <v>0</v>
      </c>
      <c r="E9" s="148">
        <f>SUBTOTAL(109,Table_Measure_Caps[Demand Reduction Total (kW)])</f>
        <v>0</v>
      </c>
      <c r="F9" s="149">
        <f>SUBTOTAL(109,Table_Measure_Caps[Cost Savings Total])</f>
        <v>0</v>
      </c>
      <c r="G9" s="149">
        <f>SUBTOTAL(109,Table_Measure_Caps[Gross Measure Cost Total])</f>
        <v>0</v>
      </c>
      <c r="H9" s="149">
        <f>SUBTOTAL(109,Table_Measure_Caps[Net Measure Cost Total])</f>
        <v>0</v>
      </c>
      <c r="I9" s="150" t="e">
        <f>Table_Measure_Caps[[#Totals],[Estimated Raw Incentive Total]]/Table_Measure_Caps[[#Totals],[Gross Measure Cost Total]]</f>
        <v>#DIV/0!</v>
      </c>
      <c r="J9" s="88" t="e">
        <f>SUBTOTAL(109,Table_Measure_Caps[Capped Incentive])</f>
        <v>#DIV/0!</v>
      </c>
    </row>
    <row r="13" spans="1:15" x14ac:dyDescent="0.2">
      <c r="G13" s="34"/>
      <c r="H13" s="34"/>
    </row>
    <row r="16" spans="1:15" x14ac:dyDescent="0.2">
      <c r="E16" s="34"/>
    </row>
  </sheetData>
  <mergeCells count="2">
    <mergeCell ref="A1:B1"/>
    <mergeCell ref="L1:M1"/>
  </mergeCells>
  <pageMargins left="0.7" right="0.7" top="0.75" bottom="0.75" header="0.3" footer="0.3"/>
  <tableParts count="2">
    <tablePart r:id="rId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E8186-6E06-47F7-B2BF-1C7EA5417126}">
  <sheetPr codeName="Sheet7">
    <tabColor rgb="FFFF0000"/>
  </sheetPr>
  <dimension ref="A1:E27"/>
  <sheetViews>
    <sheetView workbookViewId="0">
      <selection activeCell="B1" sqref="B1"/>
    </sheetView>
  </sheetViews>
  <sheetFormatPr defaultRowHeight="12.75" x14ac:dyDescent="0.2"/>
  <cols>
    <col min="1" max="1" width="54.140625" customWidth="1"/>
    <col min="2" max="2" width="34.42578125" style="3" customWidth="1"/>
    <col min="3" max="3" width="29.140625" style="3" customWidth="1"/>
    <col min="4" max="4" width="11.28515625" customWidth="1"/>
    <col min="6" max="6" width="22.28515625" bestFit="1" customWidth="1"/>
    <col min="7" max="7" width="7" bestFit="1" customWidth="1"/>
  </cols>
  <sheetData>
    <row r="1" spans="1:5" ht="15" x14ac:dyDescent="0.25">
      <c r="A1" s="6" t="s">
        <v>492</v>
      </c>
      <c r="B1" s="19"/>
      <c r="E1" s="18" t="s">
        <v>493</v>
      </c>
    </row>
    <row r="2" spans="1:5" ht="15" x14ac:dyDescent="0.25">
      <c r="A2" s="6" t="s">
        <v>494</v>
      </c>
      <c r="B2" s="20"/>
      <c r="E2" s="18"/>
    </row>
    <row r="3" spans="1:5" ht="15" x14ac:dyDescent="0.25">
      <c r="A3" s="6" t="s">
        <v>495</v>
      </c>
      <c r="B3" s="241" t="str">
        <f>IFERROR(Table16[[#Totals],[Energy Savings (kWh)]]/Input_Usage,"")</f>
        <v/>
      </c>
      <c r="E3" s="18"/>
    </row>
    <row r="5" spans="1:5" x14ac:dyDescent="0.2">
      <c r="A5" t="s">
        <v>496</v>
      </c>
      <c r="B5" s="2" t="s">
        <v>497</v>
      </c>
      <c r="C5" s="2" t="s">
        <v>498</v>
      </c>
    </row>
    <row r="6" spans="1:5" x14ac:dyDescent="0.2">
      <c r="A6" s="22" t="s">
        <v>499</v>
      </c>
      <c r="B6" s="17"/>
      <c r="C6" s="17"/>
    </row>
    <row r="7" spans="1:5" x14ac:dyDescent="0.2">
      <c r="A7" s="22" t="s">
        <v>500</v>
      </c>
      <c r="B7" s="17"/>
      <c r="C7" s="17"/>
    </row>
    <row r="8" spans="1:5" x14ac:dyDescent="0.2">
      <c r="A8" s="22" t="s">
        <v>501</v>
      </c>
      <c r="B8" s="17"/>
      <c r="C8" s="17"/>
    </row>
    <row r="9" spans="1:5" x14ac:dyDescent="0.2">
      <c r="A9" s="22" t="s">
        <v>502</v>
      </c>
      <c r="B9" s="21"/>
      <c r="C9" s="21"/>
    </row>
    <row r="10" spans="1:5" x14ac:dyDescent="0.2">
      <c r="A10" s="22" t="s">
        <v>503</v>
      </c>
      <c r="B10" s="21"/>
      <c r="C10" s="21"/>
    </row>
    <row r="11" spans="1:5" x14ac:dyDescent="0.2">
      <c r="A11" s="22" t="s">
        <v>504</v>
      </c>
      <c r="B11" s="21"/>
      <c r="C11" s="21"/>
    </row>
    <row r="12" spans="1:5" x14ac:dyDescent="0.2">
      <c r="A12" s="22" t="s">
        <v>505</v>
      </c>
      <c r="B12" s="21"/>
      <c r="C12" s="21"/>
    </row>
    <row r="13" spans="1:5" x14ac:dyDescent="0.2">
      <c r="A13" s="22" t="s">
        <v>506</v>
      </c>
      <c r="B13" s="21"/>
      <c r="C13" s="21"/>
    </row>
    <row r="14" spans="1:5" x14ac:dyDescent="0.2">
      <c r="A14" s="22" t="s">
        <v>507</v>
      </c>
      <c r="B14" s="21"/>
      <c r="C14" s="21"/>
    </row>
    <row r="15" spans="1:5" x14ac:dyDescent="0.2">
      <c r="A15" s="22" t="s">
        <v>508</v>
      </c>
      <c r="B15" s="21"/>
      <c r="C15" s="21"/>
    </row>
    <row r="16" spans="1:5" x14ac:dyDescent="0.2">
      <c r="A16" s="3"/>
      <c r="B16" s="25"/>
      <c r="C16" s="25"/>
    </row>
    <row r="17" spans="1:4" ht="15" x14ac:dyDescent="0.2">
      <c r="A17" s="26" t="s">
        <v>509</v>
      </c>
      <c r="B17" s="26" t="s">
        <v>510</v>
      </c>
      <c r="C17" s="27" t="s">
        <v>410</v>
      </c>
      <c r="D17" s="27" t="s">
        <v>161</v>
      </c>
    </row>
    <row r="18" spans="1:4" x14ac:dyDescent="0.2">
      <c r="A18" s="24" t="s">
        <v>511</v>
      </c>
      <c r="B18" s="28" t="e">
        <f>SUM(Summary!E30,Summary!E31,Summary!E32,Summary!E33,Summary!E34)</f>
        <v>#DIV/0!</v>
      </c>
      <c r="C18" s="28" t="e">
        <f>Summary!E35</f>
        <v>#DIV/0!</v>
      </c>
      <c r="D18" s="28" t="e">
        <f>SUM(B18:C18)</f>
        <v>#DIV/0!</v>
      </c>
    </row>
    <row r="19" spans="1:4" x14ac:dyDescent="0.2">
      <c r="A19" s="24" t="s">
        <v>512</v>
      </c>
      <c r="B19" s="28">
        <f>SUM(Summary!D30,Summary!D31,Summary!D32,Summary!D33,Summary!D34)</f>
        <v>0</v>
      </c>
      <c r="C19" s="28">
        <f>Summary!D35</f>
        <v>0</v>
      </c>
      <c r="D19" s="28">
        <f>SUM(B19:C19)</f>
        <v>0</v>
      </c>
    </row>
    <row r="20" spans="1:4" x14ac:dyDescent="0.2">
      <c r="A20" s="5" t="s">
        <v>513</v>
      </c>
      <c r="B20" s="23" t="e">
        <f>B$18/Value_Project_CAP</f>
        <v>#DIV/0!</v>
      </c>
      <c r="C20" s="23" t="e">
        <f>C$18/Value_Project_CAP</f>
        <v>#DIV/0!</v>
      </c>
      <c r="D20" s="23" t="e">
        <f>D$18/Value_Project_CAP</f>
        <v>#DIV/0!</v>
      </c>
    </row>
    <row r="21" spans="1:4" x14ac:dyDescent="0.2">
      <c r="A21" s="24" t="s">
        <v>514</v>
      </c>
      <c r="B21" s="23" t="e">
        <f>B$18/B$19</f>
        <v>#DIV/0!</v>
      </c>
      <c r="C21" s="23" t="e">
        <f>C$18/C$19</f>
        <v>#DIV/0!</v>
      </c>
      <c r="D21" s="23" t="e">
        <f>D$18/D$19</f>
        <v>#DIV/0!</v>
      </c>
    </row>
    <row r="23" spans="1:4" ht="15" x14ac:dyDescent="0.2">
      <c r="A23" s="26" t="s">
        <v>515</v>
      </c>
      <c r="B23" s="26" t="s">
        <v>510</v>
      </c>
    </row>
    <row r="24" spans="1:4" x14ac:dyDescent="0.2">
      <c r="A24" s="24" t="s">
        <v>516</v>
      </c>
      <c r="B24" s="28" t="b">
        <f>Table16[[#Totals],[Energy Savings (kWh)]]=SUM('APTracks Export Data'!G:G)</f>
        <v>1</v>
      </c>
    </row>
    <row r="25" spans="1:4" x14ac:dyDescent="0.2">
      <c r="A25" s="24" t="s">
        <v>517</v>
      </c>
      <c r="B25" s="28" t="e">
        <f>Table15[[#Totals],[Estimated Incentive]]=SUM('APTracks Export Data'!I:I)</f>
        <v>#DIV/0!</v>
      </c>
    </row>
    <row r="26" spans="1:4" x14ac:dyDescent="0.2">
      <c r="A26" s="5" t="s">
        <v>518</v>
      </c>
      <c r="B26" s="23" t="b">
        <f>Table15[[#Totals],[Gross Project Cost]]=SUM('APTracks Export Data'!J:K)</f>
        <v>1</v>
      </c>
    </row>
    <row r="27" spans="1:4" x14ac:dyDescent="0.2">
      <c r="A27" s="5" t="s">
        <v>519</v>
      </c>
      <c r="B27" s="23"/>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FAF85-49F4-4830-81E4-A9D43357CDC9}">
  <sheetPr>
    <tabColor rgb="FFFF0000"/>
  </sheetPr>
  <dimension ref="A1:R8"/>
  <sheetViews>
    <sheetView workbookViewId="0">
      <selection activeCell="K21" sqref="K21"/>
    </sheetView>
  </sheetViews>
  <sheetFormatPr defaultRowHeight="12.75" x14ac:dyDescent="0.2"/>
  <cols>
    <col min="1" max="1" width="18.28515625" bestFit="1" customWidth="1"/>
    <col min="2" max="2" width="15" bestFit="1" customWidth="1"/>
    <col min="3" max="3" width="14.42578125" bestFit="1" customWidth="1"/>
    <col min="4" max="4" width="13.5703125" bestFit="1" customWidth="1"/>
    <col min="5" max="5" width="8" bestFit="1" customWidth="1"/>
    <col min="6" max="6" width="7.42578125" bestFit="1" customWidth="1"/>
    <col min="7" max="7" width="10.5703125" bestFit="1" customWidth="1"/>
    <col min="8" max="8" width="13.28515625" bestFit="1" customWidth="1"/>
    <col min="9" max="9" width="22.7109375" bestFit="1" customWidth="1"/>
    <col min="10" max="10" width="13.140625" bestFit="1" customWidth="1"/>
    <col min="11" max="11" width="6.42578125" bestFit="1" customWidth="1"/>
    <col min="12" max="12" width="7.140625" bestFit="1" customWidth="1"/>
    <col min="13" max="13" width="15" bestFit="1" customWidth="1"/>
    <col min="14" max="14" width="12.7109375" bestFit="1" customWidth="1"/>
  </cols>
  <sheetData>
    <row r="1" spans="1:18" ht="13.5" thickBot="1" x14ac:dyDescent="0.25"/>
    <row r="2" spans="1:18" ht="14.25" thickTop="1" thickBot="1" x14ac:dyDescent="0.25">
      <c r="A2" s="57" t="s">
        <v>520</v>
      </c>
    </row>
    <row r="3" spans="1:18" ht="13.5" thickTop="1" x14ac:dyDescent="0.2">
      <c r="A3" t="s">
        <v>521</v>
      </c>
      <c r="B3" t="s">
        <v>37</v>
      </c>
      <c r="C3" t="s">
        <v>522</v>
      </c>
      <c r="D3" t="s">
        <v>523</v>
      </c>
      <c r="E3" t="s">
        <v>18</v>
      </c>
      <c r="F3" t="s">
        <v>19</v>
      </c>
      <c r="G3" t="s">
        <v>524</v>
      </c>
      <c r="H3" t="s">
        <v>525</v>
      </c>
      <c r="I3" t="s">
        <v>526</v>
      </c>
      <c r="J3" t="s">
        <v>527</v>
      </c>
      <c r="K3" t="s">
        <v>528</v>
      </c>
      <c r="L3" t="s">
        <v>529</v>
      </c>
      <c r="M3" t="s">
        <v>530</v>
      </c>
      <c r="N3" t="s">
        <v>64</v>
      </c>
      <c r="O3" t="s">
        <v>174</v>
      </c>
      <c r="P3" t="s">
        <v>531</v>
      </c>
      <c r="Q3" t="s">
        <v>67</v>
      </c>
      <c r="R3" t="s">
        <v>69</v>
      </c>
    </row>
    <row r="4" spans="1:18" x14ac:dyDescent="0.2">
      <c r="A4" s="76" t="s">
        <v>62</v>
      </c>
      <c r="B4">
        <f>Application!$C$4</f>
        <v>0</v>
      </c>
      <c r="C4">
        <f>Application!$C$5</f>
        <v>0</v>
      </c>
      <c r="D4">
        <f>Application!$C$6</f>
        <v>0</v>
      </c>
      <c r="E4">
        <f>Application!$C$7</f>
        <v>0</v>
      </c>
      <c r="F4">
        <f>Application!$C$8</f>
        <v>0</v>
      </c>
      <c r="G4">
        <f>Application!$C$9</f>
        <v>0</v>
      </c>
      <c r="H4">
        <f>Application!$C$10</f>
        <v>0</v>
      </c>
      <c r="I4">
        <f>Application!$C$11</f>
        <v>0</v>
      </c>
      <c r="J4">
        <f>Application!$C$12</f>
        <v>0</v>
      </c>
      <c r="K4">
        <f>Application!$C$13</f>
        <v>0</v>
      </c>
      <c r="L4">
        <f>Application!$C$14</f>
        <v>0</v>
      </c>
      <c r="M4" t="s">
        <v>532</v>
      </c>
      <c r="N4" t="str">
        <f>Table_Contacts[[#This Row],[Entity]]</f>
        <v>Customer</v>
      </c>
      <c r="O4" t="s">
        <v>532</v>
      </c>
      <c r="P4" t="s">
        <v>532</v>
      </c>
      <c r="Q4" t="s">
        <v>532</v>
      </c>
      <c r="R4" t="s">
        <v>532</v>
      </c>
    </row>
    <row r="5" spans="1:18" x14ac:dyDescent="0.2">
      <c r="A5" s="76" t="s">
        <v>245</v>
      </c>
      <c r="B5">
        <f>Application!$C$16</f>
        <v>0</v>
      </c>
      <c r="C5">
        <f>Application!$C$17</f>
        <v>0</v>
      </c>
      <c r="D5">
        <f>Application!$C$18</f>
        <v>0</v>
      </c>
      <c r="E5">
        <f>Application!$C$19</f>
        <v>0</v>
      </c>
      <c r="F5">
        <f>Application!$C$20</f>
        <v>0</v>
      </c>
      <c r="G5">
        <f>Application!$C$21</f>
        <v>0</v>
      </c>
      <c r="H5">
        <f>Application!$C$22</f>
        <v>0</v>
      </c>
      <c r="I5">
        <f>Application!$C$23</f>
        <v>0</v>
      </c>
      <c r="J5" t="s">
        <v>532</v>
      </c>
      <c r="K5" t="s">
        <v>532</v>
      </c>
      <c r="L5" t="s">
        <v>532</v>
      </c>
      <c r="M5">
        <f>Application!$C$24</f>
        <v>0</v>
      </c>
      <c r="N5" t="str">
        <f>Table_Contacts[[#This Row],[Entity]]</f>
        <v>Trade Ally/Contractor</v>
      </c>
      <c r="O5" t="s">
        <v>532</v>
      </c>
      <c r="P5" t="s">
        <v>532</v>
      </c>
      <c r="Q5" t="s">
        <v>532</v>
      </c>
      <c r="R5" t="s">
        <v>532</v>
      </c>
    </row>
    <row r="6" spans="1:18" x14ac:dyDescent="0.2">
      <c r="A6" s="76" t="s">
        <v>157</v>
      </c>
      <c r="B6">
        <f>Application!$C$26</f>
        <v>0</v>
      </c>
      <c r="C6">
        <f>Application!$C$27</f>
        <v>0</v>
      </c>
      <c r="D6">
        <f>Application!$C$28</f>
        <v>0</v>
      </c>
      <c r="E6">
        <f>Application!$C$29</f>
        <v>0</v>
      </c>
      <c r="F6">
        <f>Application!$C$30</f>
        <v>0</v>
      </c>
      <c r="G6">
        <f>Application!$C$31</f>
        <v>0</v>
      </c>
      <c r="H6">
        <f>Application!$C$32</f>
        <v>0</v>
      </c>
      <c r="I6">
        <f>Application!$C$33</f>
        <v>0</v>
      </c>
      <c r="J6" t="s">
        <v>532</v>
      </c>
      <c r="K6" t="s">
        <v>532</v>
      </c>
      <c r="L6" t="s">
        <v>532</v>
      </c>
      <c r="M6" t="s">
        <v>532</v>
      </c>
      <c r="N6">
        <f>Application!$C$34</f>
        <v>0</v>
      </c>
      <c r="O6" t="s">
        <v>532</v>
      </c>
      <c r="P6" t="s">
        <v>532</v>
      </c>
      <c r="Q6" t="s">
        <v>532</v>
      </c>
      <c r="R6" t="s">
        <v>532</v>
      </c>
    </row>
    <row r="7" spans="1:18" x14ac:dyDescent="0.2">
      <c r="A7" s="76" t="s">
        <v>274</v>
      </c>
      <c r="B7">
        <f>Application!$F$14</f>
        <v>0</v>
      </c>
      <c r="C7">
        <f>Application!$F$15</f>
        <v>0</v>
      </c>
      <c r="D7">
        <f>Application!$F$16</f>
        <v>0</v>
      </c>
      <c r="E7">
        <f>Application!$F$17</f>
        <v>0</v>
      </c>
      <c r="F7">
        <f>Application!$F$18</f>
        <v>0</v>
      </c>
      <c r="G7">
        <f>Application!$F$19</f>
        <v>0</v>
      </c>
      <c r="H7">
        <f>Application!$F$20</f>
        <v>0</v>
      </c>
      <c r="I7">
        <f>Application!$F$21</f>
        <v>0</v>
      </c>
      <c r="J7" t="s">
        <v>532</v>
      </c>
      <c r="K7" t="s">
        <v>532</v>
      </c>
      <c r="L7" t="s">
        <v>532</v>
      </c>
      <c r="M7" t="s">
        <v>532</v>
      </c>
      <c r="N7" t="str">
        <f>Table_Contacts[[#This Row],[Entity]]</f>
        <v>Job Site</v>
      </c>
      <c r="O7" t="s">
        <v>532</v>
      </c>
      <c r="P7" t="s">
        <v>532</v>
      </c>
      <c r="Q7" t="s">
        <v>532</v>
      </c>
      <c r="R7" t="s">
        <v>532</v>
      </c>
    </row>
    <row r="8" spans="1:18" x14ac:dyDescent="0.2">
      <c r="A8" s="76" t="s">
        <v>533</v>
      </c>
      <c r="B8" t="e">
        <f>INDEX(Table_Contacts[Business Name], MATCH(Application!$C$36, Table_Contacts[Entity], 0))</f>
        <v>#N/A</v>
      </c>
      <c r="C8" t="e">
        <f>INDEX(Table_Contacts[Contact Name], MATCH(Application!$C$36, Table_Contacts[Entity], 0))</f>
        <v>#N/A</v>
      </c>
      <c r="D8" t="e">
        <f>INDEX(Table_Contacts[Street], MATCH(Application!$C$36, Table_Contacts[Entity], 0))</f>
        <v>#N/A</v>
      </c>
      <c r="E8" t="e">
        <f>INDEX(Table_Contacts[City], MATCH(Application!$C$36, Table_Contacts[Entity], 0))</f>
        <v>#N/A</v>
      </c>
      <c r="F8" t="e">
        <f>INDEX(Table_Contacts[State], MATCH(Application!$C$36, Table_Contacts[Entity], 0))</f>
        <v>#N/A</v>
      </c>
      <c r="G8" t="e">
        <f>INDEX(Table_Contacts[Zip], MATCH(Application!$C$36, Table_Contacts[Entity], 0))</f>
        <v>#N/A</v>
      </c>
      <c r="H8" t="e">
        <f>INDEX(Table_Contacts[Phone], MATCH(Application!$C$36, Table_Contacts[Entity], 0))</f>
        <v>#N/A</v>
      </c>
      <c r="I8" t="e">
        <f>INDEX(Table_Contacts[Email], MATCH(Application!$C$36, Table_Contacts[Entity], 0))</f>
        <v>#N/A</v>
      </c>
      <c r="J8" t="e">
        <f>INDEX(Table_Contacts[Classification], MATCH(Application!$C$36, Table_Contacts[Entity], 0))</f>
        <v>#N/A</v>
      </c>
      <c r="K8" t="s">
        <v>532</v>
      </c>
      <c r="L8" t="s">
        <v>532</v>
      </c>
      <c r="M8" t="s">
        <v>532</v>
      </c>
      <c r="N8" t="s">
        <v>532</v>
      </c>
      <c r="O8">
        <f>Application!F33</f>
        <v>0</v>
      </c>
      <c r="P8">
        <f>Application!F34</f>
        <v>0</v>
      </c>
      <c r="Q8">
        <f>Application!F35</f>
        <v>0</v>
      </c>
      <c r="R8">
        <f>Application!F36</f>
        <v>0</v>
      </c>
    </row>
  </sheetData>
  <pageMargins left="0.7" right="0.7" top="0.75" bottom="0.75" header="0.3" footer="0.3"/>
  <pageSetup orientation="portrait" horizontalDpi="0" verticalDpi="0" r:id="rId1"/>
  <ignoredErrors>
    <ignoredError sqref="O4:R7" calculatedColumn="1"/>
    <ignoredError sqref="N6" formula="1"/>
  </ignoredErrors>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799DA-3079-4798-A831-80E5996DF33A}">
  <sheetPr codeName="Sheet10">
    <tabColor rgb="FFFF0000"/>
  </sheetPr>
  <dimension ref="A1:N212"/>
  <sheetViews>
    <sheetView workbookViewId="0">
      <selection activeCell="A2" sqref="A2"/>
    </sheetView>
  </sheetViews>
  <sheetFormatPr defaultColWidth="9.140625" defaultRowHeight="12.75" x14ac:dyDescent="0.2"/>
  <cols>
    <col min="1" max="1" width="13.42578125" customWidth="1"/>
    <col min="2" max="2" width="17.140625" customWidth="1"/>
    <col min="3" max="3" width="16.85546875" customWidth="1"/>
    <col min="4" max="4" width="18.7109375" customWidth="1"/>
    <col min="5" max="5" width="17.5703125" customWidth="1"/>
    <col min="6" max="6" width="8.7109375" customWidth="1"/>
    <col min="7" max="7" width="14.28515625" customWidth="1"/>
    <col min="8" max="8" width="13.140625" customWidth="1"/>
    <col min="9" max="10" width="17.140625" style="42" customWidth="1"/>
    <col min="11" max="11" width="13" customWidth="1"/>
    <col min="12" max="12" width="19.28515625" customWidth="1"/>
    <col min="13" max="13" width="56" customWidth="1"/>
    <col min="14" max="14" width="12.28515625" style="42" customWidth="1"/>
  </cols>
  <sheetData>
    <row r="1" spans="1:14" ht="30" x14ac:dyDescent="0.25">
      <c r="A1" s="100" t="s">
        <v>534</v>
      </c>
      <c r="B1" s="101" t="s">
        <v>535</v>
      </c>
      <c r="C1" s="101" t="s">
        <v>536</v>
      </c>
      <c r="D1" s="101" t="s">
        <v>78</v>
      </c>
      <c r="E1" s="101" t="s">
        <v>81</v>
      </c>
      <c r="F1" s="101" t="s">
        <v>187</v>
      </c>
      <c r="G1" s="102" t="s">
        <v>469</v>
      </c>
      <c r="H1" s="101" t="s">
        <v>470</v>
      </c>
      <c r="I1" s="103" t="s">
        <v>511</v>
      </c>
      <c r="J1" s="103" t="s">
        <v>537</v>
      </c>
      <c r="K1" s="101" t="s">
        <v>538</v>
      </c>
      <c r="L1" s="101" t="s">
        <v>539</v>
      </c>
      <c r="M1" s="104" t="s">
        <v>184</v>
      </c>
      <c r="N1" s="103" t="s">
        <v>540</v>
      </c>
    </row>
    <row r="2" spans="1:14" x14ac:dyDescent="0.2">
      <c r="A2" s="38"/>
      <c r="B2" s="37"/>
      <c r="C2" s="37"/>
      <c r="D2" s="37"/>
      <c r="E2" s="37"/>
      <c r="F2" s="37"/>
      <c r="G2" s="37"/>
      <c r="H2" s="138"/>
      <c r="I2" s="43"/>
      <c r="J2" s="43"/>
      <c r="K2" s="37"/>
      <c r="L2" s="39"/>
      <c r="M2" s="98"/>
      <c r="N2" s="40"/>
    </row>
    <row r="3" spans="1:14" x14ac:dyDescent="0.2">
      <c r="A3" s="13" t="s">
        <v>222</v>
      </c>
      <c r="B3" s="12">
        <f t="shared" ref="B3:B104" si="0">Input_ProjectNumber</f>
        <v>0</v>
      </c>
      <c r="C3" s="12">
        <f>HVAC!B5</f>
        <v>1</v>
      </c>
      <c r="D3" s="12" t="str">
        <f>HVAC!C5</f>
        <v/>
      </c>
      <c r="E3" s="12" t="str">
        <f>HVAC!F5</f>
        <v/>
      </c>
      <c r="F3" s="12" t="str">
        <f>IF(ISNUMBER($D3)=TRUE,HVAC!G5,"")</f>
        <v/>
      </c>
      <c r="G3" s="12" t="str">
        <f>IF(ISNUMBER($D3)=TRUE,HVAC!O5,"")</f>
        <v/>
      </c>
      <c r="H3" s="139" t="str">
        <f>IF(ISNUMBER($D3)=TRUE,HVAC!P5,"")</f>
        <v/>
      </c>
      <c r="I3" s="44" t="str">
        <f>IFERROR(N3*MIN(Table_Measure_Caps[[#Totals],[Estimated Raw Incentive Total]], Table_Measure_Caps[[#Totals],[Gross Measure Cost Total]], Value_Project_CAP)/Table_Measure_Caps[[#Totals],[Estimated Raw Incentive Total]], "")</f>
        <v/>
      </c>
      <c r="J3" s="44" t="str">
        <f>IF(ISNUMBER($D3)=TRUE,HVAC!K5,"")</f>
        <v/>
      </c>
      <c r="K3" s="12" t="str">
        <f>IF(ISNUMBER($D3)=TRUE,HVAC!L5,"")</f>
        <v/>
      </c>
      <c r="L3" s="29" t="str">
        <f t="shared" ref="L3:L65" si="1">Value_Application_Version</f>
        <v>Version 3.1</v>
      </c>
      <c r="M3" s="99" t="str">
        <f>IF(ISNUMBER($D3)=TRUE,HVAC!E5,"")</f>
        <v/>
      </c>
      <c r="N3" s="41" t="str">
        <f>HVAC!N5</f>
        <v/>
      </c>
    </row>
    <row r="4" spans="1:14" x14ac:dyDescent="0.2">
      <c r="A4" s="13" t="s">
        <v>222</v>
      </c>
      <c r="B4" s="12">
        <f t="shared" si="0"/>
        <v>0</v>
      </c>
      <c r="C4" s="12">
        <f>HVAC!B6</f>
        <v>2</v>
      </c>
      <c r="D4" s="12" t="str">
        <f>HVAC!C6</f>
        <v/>
      </c>
      <c r="E4" s="12" t="str">
        <f>HVAC!F6</f>
        <v/>
      </c>
      <c r="F4" s="12" t="str">
        <f>IF(ISNUMBER($D4)=TRUE,HVAC!G6,"")</f>
        <v/>
      </c>
      <c r="G4" s="12" t="str">
        <f>IF(ISNUMBER($D4)=TRUE,HVAC!O6,"")</f>
        <v/>
      </c>
      <c r="H4" s="139" t="str">
        <f>IF(ISNUMBER($D4)=TRUE,HVAC!P6,"")</f>
        <v/>
      </c>
      <c r="I4" s="44" t="str">
        <f>IFERROR(N4*MIN(Table_Measure_Caps[[#Totals],[Estimated Raw Incentive Total]], Table_Measure_Caps[[#Totals],[Gross Measure Cost Total]], Value_Project_CAP)/Table_Measure_Caps[[#Totals],[Estimated Raw Incentive Total]], "")</f>
        <v/>
      </c>
      <c r="J4" s="44" t="str">
        <f>IF(ISNUMBER($D4)=TRUE,HVAC!K6,"")</f>
        <v/>
      </c>
      <c r="K4" s="12" t="str">
        <f>IF(ISNUMBER($D4)=TRUE,HVAC!L6,"")</f>
        <v/>
      </c>
      <c r="L4" s="29" t="str">
        <f t="shared" si="1"/>
        <v>Version 3.1</v>
      </c>
      <c r="M4" s="99" t="str">
        <f>IF(ISNUMBER($D4)=TRUE,HVAC!E6,"")</f>
        <v/>
      </c>
      <c r="N4" s="41" t="str">
        <f>HVAC!N6</f>
        <v/>
      </c>
    </row>
    <row r="5" spans="1:14" x14ac:dyDescent="0.2">
      <c r="A5" s="13" t="s">
        <v>222</v>
      </c>
      <c r="B5" s="12">
        <f t="shared" si="0"/>
        <v>0</v>
      </c>
      <c r="C5" s="12">
        <f>HVAC!B7</f>
        <v>3</v>
      </c>
      <c r="D5" s="12" t="str">
        <f>HVAC!C7</f>
        <v/>
      </c>
      <c r="E5" s="12" t="str">
        <f>HVAC!F7</f>
        <v/>
      </c>
      <c r="F5" s="12" t="str">
        <f>IF(ISNUMBER($D5)=TRUE,HVAC!G7,"")</f>
        <v/>
      </c>
      <c r="G5" s="12" t="str">
        <f>IF(ISNUMBER($D5)=TRUE,HVAC!O7,"")</f>
        <v/>
      </c>
      <c r="H5" s="139" t="str">
        <f>IF(ISNUMBER($D5)=TRUE,HVAC!P7,"")</f>
        <v/>
      </c>
      <c r="I5" s="44" t="str">
        <f>IFERROR(N5*MIN(Table_Measure_Caps[[#Totals],[Estimated Raw Incentive Total]], Table_Measure_Caps[[#Totals],[Gross Measure Cost Total]], Value_Project_CAP)/Table_Measure_Caps[[#Totals],[Estimated Raw Incentive Total]], "")</f>
        <v/>
      </c>
      <c r="J5" s="44" t="str">
        <f>IF(ISNUMBER($D5)=TRUE,HVAC!K7,"")</f>
        <v/>
      </c>
      <c r="K5" s="12" t="str">
        <f>IF(ISNUMBER($D5)=TRUE,HVAC!L7,"")</f>
        <v/>
      </c>
      <c r="L5" s="29" t="str">
        <f t="shared" si="1"/>
        <v>Version 3.1</v>
      </c>
      <c r="M5" s="99" t="str">
        <f>IF(ISNUMBER($D5)=TRUE,HVAC!E7,"")</f>
        <v/>
      </c>
      <c r="N5" s="41" t="str">
        <f>HVAC!N7</f>
        <v/>
      </c>
    </row>
    <row r="6" spans="1:14" x14ac:dyDescent="0.2">
      <c r="A6" s="13" t="s">
        <v>222</v>
      </c>
      <c r="B6" s="12">
        <f t="shared" si="0"/>
        <v>0</v>
      </c>
      <c r="C6" s="12">
        <f>HVAC!B8</f>
        <v>4</v>
      </c>
      <c r="D6" s="12" t="str">
        <f>HVAC!C8</f>
        <v/>
      </c>
      <c r="E6" s="12" t="str">
        <f>HVAC!F8</f>
        <v/>
      </c>
      <c r="F6" s="12" t="str">
        <f>IF(ISNUMBER($D6)=TRUE,HVAC!G8,"")</f>
        <v/>
      </c>
      <c r="G6" s="12" t="str">
        <f>IF(ISNUMBER($D6)=TRUE,HVAC!O8,"")</f>
        <v/>
      </c>
      <c r="H6" s="139" t="str">
        <f>IF(ISNUMBER($D6)=TRUE,HVAC!P8,"")</f>
        <v/>
      </c>
      <c r="I6" s="44" t="str">
        <f>IFERROR(N6*MIN(Table_Measure_Caps[[#Totals],[Estimated Raw Incentive Total]], Table_Measure_Caps[[#Totals],[Gross Measure Cost Total]], Value_Project_CAP)/Table_Measure_Caps[[#Totals],[Estimated Raw Incentive Total]], "")</f>
        <v/>
      </c>
      <c r="J6" s="44" t="str">
        <f>IF(ISNUMBER($D6)=TRUE,HVAC!K8,"")</f>
        <v/>
      </c>
      <c r="K6" s="12" t="str">
        <f>IF(ISNUMBER($D6)=TRUE,HVAC!L8,"")</f>
        <v/>
      </c>
      <c r="L6" s="29" t="str">
        <f t="shared" si="1"/>
        <v>Version 3.1</v>
      </c>
      <c r="M6" s="99" t="str">
        <f>IF(ISNUMBER($D6)=TRUE,HVAC!E8,"")</f>
        <v/>
      </c>
      <c r="N6" s="41" t="str">
        <f>HVAC!N8</f>
        <v/>
      </c>
    </row>
    <row r="7" spans="1:14" x14ac:dyDescent="0.2">
      <c r="A7" s="13" t="s">
        <v>222</v>
      </c>
      <c r="B7" s="12">
        <f t="shared" si="0"/>
        <v>0</v>
      </c>
      <c r="C7" s="12">
        <f>HVAC!B9</f>
        <v>5</v>
      </c>
      <c r="D7" s="12" t="str">
        <f>HVAC!C9</f>
        <v/>
      </c>
      <c r="E7" s="12" t="str">
        <f>HVAC!F9</f>
        <v/>
      </c>
      <c r="F7" s="12" t="str">
        <f>IF(ISNUMBER($D7)=TRUE,HVAC!G9,"")</f>
        <v/>
      </c>
      <c r="G7" s="12" t="str">
        <f>IF(ISNUMBER($D7)=TRUE,HVAC!O9,"")</f>
        <v/>
      </c>
      <c r="H7" s="139" t="str">
        <f>IF(ISNUMBER($D7)=TRUE,HVAC!P9,"")</f>
        <v/>
      </c>
      <c r="I7" s="44" t="str">
        <f>IFERROR(N7*MIN(Table_Measure_Caps[[#Totals],[Estimated Raw Incentive Total]], Table_Measure_Caps[[#Totals],[Gross Measure Cost Total]], Value_Project_CAP)/Table_Measure_Caps[[#Totals],[Estimated Raw Incentive Total]], "")</f>
        <v/>
      </c>
      <c r="J7" s="44" t="str">
        <f>IF(ISNUMBER($D7)=TRUE,HVAC!K9,"")</f>
        <v/>
      </c>
      <c r="K7" s="12" t="str">
        <f>IF(ISNUMBER($D7)=TRUE,HVAC!L9,"")</f>
        <v/>
      </c>
      <c r="L7" s="29" t="str">
        <f t="shared" si="1"/>
        <v>Version 3.1</v>
      </c>
      <c r="M7" s="99" t="str">
        <f>IF(ISNUMBER($D7)=TRUE,HVAC!E9,"")</f>
        <v/>
      </c>
      <c r="N7" s="41" t="str">
        <f>HVAC!N9</f>
        <v/>
      </c>
    </row>
    <row r="8" spans="1:14" x14ac:dyDescent="0.2">
      <c r="A8" s="13" t="s">
        <v>222</v>
      </c>
      <c r="B8" s="12">
        <f t="shared" si="0"/>
        <v>0</v>
      </c>
      <c r="C8" s="12">
        <f>HVAC!B10</f>
        <v>6</v>
      </c>
      <c r="D8" s="12" t="str">
        <f>HVAC!C10</f>
        <v/>
      </c>
      <c r="E8" s="12" t="str">
        <f>HVAC!F10</f>
        <v/>
      </c>
      <c r="F8" s="12" t="str">
        <f>IF(ISNUMBER($D8)=TRUE,HVAC!G10,"")</f>
        <v/>
      </c>
      <c r="G8" s="12" t="str">
        <f>IF(ISNUMBER($D8)=TRUE,HVAC!O10,"")</f>
        <v/>
      </c>
      <c r="H8" s="139" t="str">
        <f>IF(ISNUMBER($D8)=TRUE,HVAC!P10,"")</f>
        <v/>
      </c>
      <c r="I8" s="44" t="str">
        <f>IFERROR(N8*MIN(Table_Measure_Caps[[#Totals],[Estimated Raw Incentive Total]], Table_Measure_Caps[[#Totals],[Gross Measure Cost Total]], Value_Project_CAP)/Table_Measure_Caps[[#Totals],[Estimated Raw Incentive Total]], "")</f>
        <v/>
      </c>
      <c r="J8" s="44" t="str">
        <f>IF(ISNUMBER($D8)=TRUE,HVAC!K10,"")</f>
        <v/>
      </c>
      <c r="K8" s="12" t="str">
        <f>IF(ISNUMBER($D8)=TRUE,HVAC!L10,"")</f>
        <v/>
      </c>
      <c r="L8" s="29" t="str">
        <f t="shared" si="1"/>
        <v>Version 3.1</v>
      </c>
      <c r="M8" s="99" t="str">
        <f>IF(ISNUMBER($D8)=TRUE,HVAC!E10,"")</f>
        <v/>
      </c>
      <c r="N8" s="41" t="str">
        <f>HVAC!N10</f>
        <v/>
      </c>
    </row>
    <row r="9" spans="1:14" x14ac:dyDescent="0.2">
      <c r="A9" s="13" t="s">
        <v>222</v>
      </c>
      <c r="B9" s="12">
        <f t="shared" si="0"/>
        <v>0</v>
      </c>
      <c r="C9" s="12">
        <f>HVAC!B11</f>
        <v>7</v>
      </c>
      <c r="D9" s="12" t="str">
        <f>HVAC!C11</f>
        <v/>
      </c>
      <c r="E9" s="12" t="str">
        <f>HVAC!F11</f>
        <v/>
      </c>
      <c r="F9" s="12" t="str">
        <f>IF(ISNUMBER($D9)=TRUE,HVAC!G11,"")</f>
        <v/>
      </c>
      <c r="G9" s="12" t="str">
        <f>IF(ISNUMBER($D9)=TRUE,HVAC!O11,"")</f>
        <v/>
      </c>
      <c r="H9" s="139" t="str">
        <f>IF(ISNUMBER($D9)=TRUE,HVAC!P11,"")</f>
        <v/>
      </c>
      <c r="I9" s="44" t="str">
        <f>IFERROR(N9*MIN(Table_Measure_Caps[[#Totals],[Estimated Raw Incentive Total]], Table_Measure_Caps[[#Totals],[Gross Measure Cost Total]], Value_Project_CAP)/Table_Measure_Caps[[#Totals],[Estimated Raw Incentive Total]], "")</f>
        <v/>
      </c>
      <c r="J9" s="44" t="str">
        <f>IF(ISNUMBER($D9)=TRUE,HVAC!K11,"")</f>
        <v/>
      </c>
      <c r="K9" s="12" t="str">
        <f>IF(ISNUMBER($D9)=TRUE,HVAC!L11,"")</f>
        <v/>
      </c>
      <c r="L9" s="29" t="str">
        <f t="shared" si="1"/>
        <v>Version 3.1</v>
      </c>
      <c r="M9" s="99" t="str">
        <f>IF(ISNUMBER($D9)=TRUE,HVAC!E11,"")</f>
        <v/>
      </c>
      <c r="N9" s="41" t="str">
        <f>HVAC!N11</f>
        <v/>
      </c>
    </row>
    <row r="10" spans="1:14" x14ac:dyDescent="0.2">
      <c r="A10" s="13" t="s">
        <v>222</v>
      </c>
      <c r="B10" s="12">
        <f t="shared" si="0"/>
        <v>0</v>
      </c>
      <c r="C10" s="12">
        <f>HVAC!B12</f>
        <v>8</v>
      </c>
      <c r="D10" s="12" t="str">
        <f>HVAC!C12</f>
        <v/>
      </c>
      <c r="E10" s="12" t="str">
        <f>HVAC!F12</f>
        <v/>
      </c>
      <c r="F10" s="12" t="str">
        <f>IF(ISNUMBER($D10)=TRUE,HVAC!G12,"")</f>
        <v/>
      </c>
      <c r="G10" s="12" t="str">
        <f>IF(ISNUMBER($D10)=TRUE,HVAC!O12,"")</f>
        <v/>
      </c>
      <c r="H10" s="139" t="str">
        <f>IF(ISNUMBER($D10)=TRUE,HVAC!P12,"")</f>
        <v/>
      </c>
      <c r="I10" s="44" t="str">
        <f>IFERROR(N10*MIN(Table_Measure_Caps[[#Totals],[Estimated Raw Incentive Total]], Table_Measure_Caps[[#Totals],[Gross Measure Cost Total]], Value_Project_CAP)/Table_Measure_Caps[[#Totals],[Estimated Raw Incentive Total]], "")</f>
        <v/>
      </c>
      <c r="J10" s="44" t="str">
        <f>IF(ISNUMBER($D10)=TRUE,HVAC!K12,"")</f>
        <v/>
      </c>
      <c r="K10" s="12" t="str">
        <f>IF(ISNUMBER($D10)=TRUE,HVAC!L12,"")</f>
        <v/>
      </c>
      <c r="L10" s="29" t="str">
        <f t="shared" si="1"/>
        <v>Version 3.1</v>
      </c>
      <c r="M10" s="99" t="str">
        <f>IF(ISNUMBER($D10)=TRUE,HVAC!E12,"")</f>
        <v/>
      </c>
      <c r="N10" s="41" t="str">
        <f>HVAC!N12</f>
        <v/>
      </c>
    </row>
    <row r="11" spans="1:14" x14ac:dyDescent="0.2">
      <c r="A11" s="13" t="s">
        <v>222</v>
      </c>
      <c r="B11" s="12">
        <f t="shared" si="0"/>
        <v>0</v>
      </c>
      <c r="C11" s="12">
        <f>HVAC!B13</f>
        <v>9</v>
      </c>
      <c r="D11" s="12" t="str">
        <f>HVAC!C13</f>
        <v/>
      </c>
      <c r="E11" s="12" t="str">
        <f>HVAC!F13</f>
        <v/>
      </c>
      <c r="F11" s="12" t="str">
        <f>IF(ISNUMBER($D11)=TRUE,HVAC!G13,"")</f>
        <v/>
      </c>
      <c r="G11" s="12" t="str">
        <f>IF(ISNUMBER($D11)=TRUE,HVAC!O13,"")</f>
        <v/>
      </c>
      <c r="H11" s="139" t="str">
        <f>IF(ISNUMBER($D11)=TRUE,HVAC!P13,"")</f>
        <v/>
      </c>
      <c r="I11" s="44" t="str">
        <f>IFERROR(N11*MIN(Table_Measure_Caps[[#Totals],[Estimated Raw Incentive Total]], Table_Measure_Caps[[#Totals],[Gross Measure Cost Total]], Value_Project_CAP)/Table_Measure_Caps[[#Totals],[Estimated Raw Incentive Total]], "")</f>
        <v/>
      </c>
      <c r="J11" s="44" t="str">
        <f>IF(ISNUMBER($D11)=TRUE,HVAC!K13,"")</f>
        <v/>
      </c>
      <c r="K11" s="12" t="str">
        <f>IF(ISNUMBER($D11)=TRUE,HVAC!L13,"")</f>
        <v/>
      </c>
      <c r="L11" s="29" t="str">
        <f t="shared" si="1"/>
        <v>Version 3.1</v>
      </c>
      <c r="M11" s="99" t="str">
        <f>IF(ISNUMBER($D11)=TRUE,HVAC!E13,"")</f>
        <v/>
      </c>
      <c r="N11" s="41" t="str">
        <f>HVAC!N13</f>
        <v/>
      </c>
    </row>
    <row r="12" spans="1:14" x14ac:dyDescent="0.2">
      <c r="A12" s="13" t="s">
        <v>222</v>
      </c>
      <c r="B12" s="12">
        <f t="shared" si="0"/>
        <v>0</v>
      </c>
      <c r="C12" s="12">
        <f>HVAC!B14</f>
        <v>10</v>
      </c>
      <c r="D12" s="12" t="str">
        <f>HVAC!C14</f>
        <v/>
      </c>
      <c r="E12" s="12" t="str">
        <f>HVAC!F14</f>
        <v/>
      </c>
      <c r="F12" s="12" t="str">
        <f>IF(ISNUMBER($D12)=TRUE,HVAC!G14,"")</f>
        <v/>
      </c>
      <c r="G12" s="12" t="str">
        <f>IF(ISNUMBER($D12)=TRUE,HVAC!O14,"")</f>
        <v/>
      </c>
      <c r="H12" s="139" t="str">
        <f>IF(ISNUMBER($D12)=TRUE,HVAC!P14,"")</f>
        <v/>
      </c>
      <c r="I12" s="44" t="str">
        <f>IFERROR(N12*MIN(Table_Measure_Caps[[#Totals],[Estimated Raw Incentive Total]], Table_Measure_Caps[[#Totals],[Gross Measure Cost Total]], Value_Project_CAP)/Table_Measure_Caps[[#Totals],[Estimated Raw Incentive Total]], "")</f>
        <v/>
      </c>
      <c r="J12" s="44" t="str">
        <f>IF(ISNUMBER($D12)=TRUE,HVAC!K14,"")</f>
        <v/>
      </c>
      <c r="K12" s="12" t="str">
        <f>IF(ISNUMBER($D12)=TRUE,HVAC!L14,"")</f>
        <v/>
      </c>
      <c r="L12" s="29" t="str">
        <f t="shared" si="1"/>
        <v>Version 3.1</v>
      </c>
      <c r="M12" s="99" t="str">
        <f>IF(ISNUMBER($D12)=TRUE,HVAC!E14,"")</f>
        <v/>
      </c>
      <c r="N12" s="41" t="str">
        <f>HVAC!N14</f>
        <v/>
      </c>
    </row>
    <row r="13" spans="1:14" x14ac:dyDescent="0.2">
      <c r="A13" s="13" t="s">
        <v>222</v>
      </c>
      <c r="B13" s="12">
        <f t="shared" si="0"/>
        <v>0</v>
      </c>
      <c r="C13" s="12">
        <f>HVAC!B15</f>
        <v>11</v>
      </c>
      <c r="D13" s="12" t="str">
        <f>HVAC!C15</f>
        <v/>
      </c>
      <c r="E13" s="12" t="str">
        <f>HVAC!F15</f>
        <v/>
      </c>
      <c r="F13" s="12" t="str">
        <f>IF(ISNUMBER($D13)=TRUE,HVAC!G15,"")</f>
        <v/>
      </c>
      <c r="G13" s="12" t="str">
        <f>IF(ISNUMBER($D13)=TRUE,HVAC!O15,"")</f>
        <v/>
      </c>
      <c r="H13" s="139" t="str">
        <f>IF(ISNUMBER($D13)=TRUE,HVAC!P15,"")</f>
        <v/>
      </c>
      <c r="I13" s="44" t="str">
        <f>IFERROR(N13*MIN(Table_Measure_Caps[[#Totals],[Estimated Raw Incentive Total]], Table_Measure_Caps[[#Totals],[Gross Measure Cost Total]], Value_Project_CAP)/Table_Measure_Caps[[#Totals],[Estimated Raw Incentive Total]], "")</f>
        <v/>
      </c>
      <c r="J13" s="44" t="str">
        <f>IF(ISNUMBER($D13)=TRUE,HVAC!K15,"")</f>
        <v/>
      </c>
      <c r="K13" s="12" t="str">
        <f>IF(ISNUMBER($D13)=TRUE,HVAC!L15,"")</f>
        <v/>
      </c>
      <c r="L13" s="29" t="str">
        <f t="shared" si="1"/>
        <v>Version 3.1</v>
      </c>
      <c r="M13" s="99" t="str">
        <f>IF(ISNUMBER($D13)=TRUE,HVAC!E15,"")</f>
        <v/>
      </c>
      <c r="N13" s="41" t="str">
        <f>HVAC!N15</f>
        <v/>
      </c>
    </row>
    <row r="14" spans="1:14" x14ac:dyDescent="0.2">
      <c r="A14" s="13" t="s">
        <v>222</v>
      </c>
      <c r="B14" s="12">
        <f t="shared" si="0"/>
        <v>0</v>
      </c>
      <c r="C14" s="12">
        <f>HVAC!B16</f>
        <v>12</v>
      </c>
      <c r="D14" s="12" t="str">
        <f>HVAC!C16</f>
        <v/>
      </c>
      <c r="E14" s="12" t="str">
        <f>HVAC!F16</f>
        <v/>
      </c>
      <c r="F14" s="12" t="str">
        <f>IF(ISNUMBER($D14)=TRUE,HVAC!G16,"")</f>
        <v/>
      </c>
      <c r="G14" s="12" t="str">
        <f>IF(ISNUMBER($D14)=TRUE,HVAC!O16,"")</f>
        <v/>
      </c>
      <c r="H14" s="139" t="str">
        <f>IF(ISNUMBER($D14)=TRUE,HVAC!P16,"")</f>
        <v/>
      </c>
      <c r="I14" s="44" t="str">
        <f>IFERROR(N14*MIN(Table_Measure_Caps[[#Totals],[Estimated Raw Incentive Total]], Table_Measure_Caps[[#Totals],[Gross Measure Cost Total]], Value_Project_CAP)/Table_Measure_Caps[[#Totals],[Estimated Raw Incentive Total]], "")</f>
        <v/>
      </c>
      <c r="J14" s="44" t="str">
        <f>IF(ISNUMBER($D14)=TRUE,HVAC!K16,"")</f>
        <v/>
      </c>
      <c r="K14" s="12" t="str">
        <f>IF(ISNUMBER($D14)=TRUE,HVAC!L16,"")</f>
        <v/>
      </c>
      <c r="L14" s="29" t="str">
        <f t="shared" si="1"/>
        <v>Version 3.1</v>
      </c>
      <c r="M14" s="99" t="str">
        <f>IF(ISNUMBER($D14)=TRUE,HVAC!E16,"")</f>
        <v/>
      </c>
      <c r="N14" s="41" t="str">
        <f>HVAC!N16</f>
        <v/>
      </c>
    </row>
    <row r="15" spans="1:14" x14ac:dyDescent="0.2">
      <c r="A15" s="13" t="s">
        <v>222</v>
      </c>
      <c r="B15" s="12">
        <f t="shared" si="0"/>
        <v>0</v>
      </c>
      <c r="C15" s="12">
        <f>HVAC!B17</f>
        <v>13</v>
      </c>
      <c r="D15" s="12" t="str">
        <f>HVAC!C17</f>
        <v/>
      </c>
      <c r="E15" s="12" t="str">
        <f>HVAC!F17</f>
        <v/>
      </c>
      <c r="F15" s="12" t="str">
        <f>IF(ISNUMBER($D15)=TRUE,HVAC!G17,"")</f>
        <v/>
      </c>
      <c r="G15" s="12" t="str">
        <f>IF(ISNUMBER($D15)=TRUE,HVAC!O17,"")</f>
        <v/>
      </c>
      <c r="H15" s="139" t="str">
        <f>IF(ISNUMBER($D15)=TRUE,HVAC!P17,"")</f>
        <v/>
      </c>
      <c r="I15" s="44" t="str">
        <f>IFERROR(N15*MIN(Table_Measure_Caps[[#Totals],[Estimated Raw Incentive Total]], Table_Measure_Caps[[#Totals],[Gross Measure Cost Total]], Value_Project_CAP)/Table_Measure_Caps[[#Totals],[Estimated Raw Incentive Total]], "")</f>
        <v/>
      </c>
      <c r="J15" s="44" t="str">
        <f>IF(ISNUMBER($D15)=TRUE,HVAC!K17,"")</f>
        <v/>
      </c>
      <c r="K15" s="12" t="str">
        <f>IF(ISNUMBER($D15)=TRUE,HVAC!L17,"")</f>
        <v/>
      </c>
      <c r="L15" s="29" t="str">
        <f t="shared" si="1"/>
        <v>Version 3.1</v>
      </c>
      <c r="M15" s="99" t="str">
        <f>IF(ISNUMBER($D15)=TRUE,HVAC!E17,"")</f>
        <v/>
      </c>
      <c r="N15" s="41" t="str">
        <f>HVAC!N17</f>
        <v/>
      </c>
    </row>
    <row r="16" spans="1:14" x14ac:dyDescent="0.2">
      <c r="A16" s="13" t="s">
        <v>222</v>
      </c>
      <c r="B16" s="12">
        <f t="shared" si="0"/>
        <v>0</v>
      </c>
      <c r="C16" s="12">
        <f>HVAC!B18</f>
        <v>14</v>
      </c>
      <c r="D16" s="12" t="str">
        <f>HVAC!C18</f>
        <v/>
      </c>
      <c r="E16" s="12" t="str">
        <f>HVAC!F18</f>
        <v/>
      </c>
      <c r="F16" s="12" t="str">
        <f>IF(ISNUMBER($D16)=TRUE,HVAC!G18,"")</f>
        <v/>
      </c>
      <c r="G16" s="12" t="str">
        <f>IF(ISNUMBER($D16)=TRUE,HVAC!O18,"")</f>
        <v/>
      </c>
      <c r="H16" s="139" t="str">
        <f>IF(ISNUMBER($D16)=TRUE,HVAC!P18,"")</f>
        <v/>
      </c>
      <c r="I16" s="44" t="str">
        <f>IFERROR(N16*MIN(Table_Measure_Caps[[#Totals],[Estimated Raw Incentive Total]], Table_Measure_Caps[[#Totals],[Gross Measure Cost Total]], Value_Project_CAP)/Table_Measure_Caps[[#Totals],[Estimated Raw Incentive Total]], "")</f>
        <v/>
      </c>
      <c r="J16" s="44" t="str">
        <f>IF(ISNUMBER($D16)=TRUE,HVAC!K18,"")</f>
        <v/>
      </c>
      <c r="K16" s="12" t="str">
        <f>IF(ISNUMBER($D16)=TRUE,HVAC!L18,"")</f>
        <v/>
      </c>
      <c r="L16" s="29" t="str">
        <f t="shared" si="1"/>
        <v>Version 3.1</v>
      </c>
      <c r="M16" s="99" t="str">
        <f>IF(ISNUMBER($D16)=TRUE,HVAC!E18,"")</f>
        <v/>
      </c>
      <c r="N16" s="41" t="str">
        <f>HVAC!N18</f>
        <v/>
      </c>
    </row>
    <row r="17" spans="1:14" x14ac:dyDescent="0.2">
      <c r="A17" s="13" t="s">
        <v>222</v>
      </c>
      <c r="B17" s="12">
        <f t="shared" si="0"/>
        <v>0</v>
      </c>
      <c r="C17" s="12">
        <f>HVAC!B19</f>
        <v>15</v>
      </c>
      <c r="D17" s="12" t="str">
        <f>HVAC!C19</f>
        <v/>
      </c>
      <c r="E17" s="12" t="str">
        <f>HVAC!F19</f>
        <v/>
      </c>
      <c r="F17" s="12" t="str">
        <f>IF(ISNUMBER($D17)=TRUE,HVAC!G19,"")</f>
        <v/>
      </c>
      <c r="G17" s="12" t="str">
        <f>IF(ISNUMBER($D17)=TRUE,HVAC!O19,"")</f>
        <v/>
      </c>
      <c r="H17" s="139" t="str">
        <f>IF(ISNUMBER($D17)=TRUE,HVAC!P19,"")</f>
        <v/>
      </c>
      <c r="I17" s="44" t="str">
        <f>IFERROR(N17*MIN(Table_Measure_Caps[[#Totals],[Estimated Raw Incentive Total]], Table_Measure_Caps[[#Totals],[Gross Measure Cost Total]], Value_Project_CAP)/Table_Measure_Caps[[#Totals],[Estimated Raw Incentive Total]], "")</f>
        <v/>
      </c>
      <c r="J17" s="44" t="str">
        <f>IF(ISNUMBER($D17)=TRUE,HVAC!K19,"")</f>
        <v/>
      </c>
      <c r="K17" s="12" t="str">
        <f>IF(ISNUMBER($D17)=TRUE,HVAC!L19,"")</f>
        <v/>
      </c>
      <c r="L17" s="29" t="str">
        <f t="shared" si="1"/>
        <v>Version 3.1</v>
      </c>
      <c r="M17" s="99" t="str">
        <f>IF(ISNUMBER($D17)=TRUE,HVAC!E19,"")</f>
        <v/>
      </c>
      <c r="N17" s="41" t="str">
        <f>HVAC!N19</f>
        <v/>
      </c>
    </row>
    <row r="18" spans="1:14" x14ac:dyDescent="0.2">
      <c r="A18" s="13" t="s">
        <v>222</v>
      </c>
      <c r="B18" s="12">
        <f t="shared" si="0"/>
        <v>0</v>
      </c>
      <c r="C18" s="12">
        <f>HVAC!B20</f>
        <v>16</v>
      </c>
      <c r="D18" s="12" t="str">
        <f>HVAC!C20</f>
        <v/>
      </c>
      <c r="E18" s="12" t="str">
        <f>HVAC!F20</f>
        <v/>
      </c>
      <c r="F18" s="12" t="str">
        <f>IF(ISNUMBER($D18)=TRUE,HVAC!G20,"")</f>
        <v/>
      </c>
      <c r="G18" s="12" t="str">
        <f>IF(ISNUMBER($D18)=TRUE,HVAC!O20,"")</f>
        <v/>
      </c>
      <c r="H18" s="139" t="str">
        <f>IF(ISNUMBER($D18)=TRUE,HVAC!P20,"")</f>
        <v/>
      </c>
      <c r="I18" s="44" t="str">
        <f>IFERROR(N18*MIN(Table_Measure_Caps[[#Totals],[Estimated Raw Incentive Total]], Table_Measure_Caps[[#Totals],[Gross Measure Cost Total]], Value_Project_CAP)/Table_Measure_Caps[[#Totals],[Estimated Raw Incentive Total]], "")</f>
        <v/>
      </c>
      <c r="J18" s="44" t="str">
        <f>IF(ISNUMBER($D18)=TRUE,HVAC!K20,"")</f>
        <v/>
      </c>
      <c r="K18" s="12" t="str">
        <f>IF(ISNUMBER($D18)=TRUE,HVAC!L20,"")</f>
        <v/>
      </c>
      <c r="L18" s="29" t="str">
        <f t="shared" si="1"/>
        <v>Version 3.1</v>
      </c>
      <c r="M18" s="99" t="str">
        <f>IF(ISNUMBER($D18)=TRUE,HVAC!E20,"")</f>
        <v/>
      </c>
      <c r="N18" s="41" t="str">
        <f>HVAC!N20</f>
        <v/>
      </c>
    </row>
    <row r="19" spans="1:14" x14ac:dyDescent="0.2">
      <c r="A19" s="13" t="s">
        <v>222</v>
      </c>
      <c r="B19" s="12">
        <f t="shared" si="0"/>
        <v>0</v>
      </c>
      <c r="C19" s="12">
        <f>HVAC!B21</f>
        <v>17</v>
      </c>
      <c r="D19" s="12" t="str">
        <f>HVAC!C21</f>
        <v/>
      </c>
      <c r="E19" s="12" t="str">
        <f>HVAC!F21</f>
        <v/>
      </c>
      <c r="F19" s="12" t="str">
        <f>IF(ISNUMBER($D19)=TRUE,HVAC!G21,"")</f>
        <v/>
      </c>
      <c r="G19" s="12" t="str">
        <f>IF(ISNUMBER($D19)=TRUE,HVAC!O21,"")</f>
        <v/>
      </c>
      <c r="H19" s="139" t="str">
        <f>IF(ISNUMBER($D19)=TRUE,HVAC!P21,"")</f>
        <v/>
      </c>
      <c r="I19" s="44" t="str">
        <f>IFERROR(N19*MIN(Table_Measure_Caps[[#Totals],[Estimated Raw Incentive Total]], Table_Measure_Caps[[#Totals],[Gross Measure Cost Total]], Value_Project_CAP)/Table_Measure_Caps[[#Totals],[Estimated Raw Incentive Total]], "")</f>
        <v/>
      </c>
      <c r="J19" s="44" t="str">
        <f>IF(ISNUMBER($D19)=TRUE,HVAC!K21,"")</f>
        <v/>
      </c>
      <c r="K19" s="12" t="str">
        <f>IF(ISNUMBER($D19)=TRUE,HVAC!L21,"")</f>
        <v/>
      </c>
      <c r="L19" s="29" t="str">
        <f t="shared" si="1"/>
        <v>Version 3.1</v>
      </c>
      <c r="M19" s="99" t="str">
        <f>IF(ISNUMBER($D19)=TRUE,HVAC!E21,"")</f>
        <v/>
      </c>
      <c r="N19" s="41" t="str">
        <f>HVAC!N21</f>
        <v/>
      </c>
    </row>
    <row r="20" spans="1:14" x14ac:dyDescent="0.2">
      <c r="A20" s="13" t="s">
        <v>222</v>
      </c>
      <c r="B20" s="12">
        <f t="shared" si="0"/>
        <v>0</v>
      </c>
      <c r="C20" s="12">
        <f>HVAC!B22</f>
        <v>18</v>
      </c>
      <c r="D20" s="12" t="str">
        <f>HVAC!C22</f>
        <v/>
      </c>
      <c r="E20" s="12" t="str">
        <f>HVAC!F22</f>
        <v/>
      </c>
      <c r="F20" s="12" t="str">
        <f>IF(ISNUMBER($D20)=TRUE,HVAC!G22,"")</f>
        <v/>
      </c>
      <c r="G20" s="12" t="str">
        <f>IF(ISNUMBER($D20)=TRUE,HVAC!O22,"")</f>
        <v/>
      </c>
      <c r="H20" s="139" t="str">
        <f>IF(ISNUMBER($D20)=TRUE,HVAC!P22,"")</f>
        <v/>
      </c>
      <c r="I20" s="44" t="str">
        <f>IFERROR(N20*MIN(Table_Measure_Caps[[#Totals],[Estimated Raw Incentive Total]], Table_Measure_Caps[[#Totals],[Gross Measure Cost Total]], Value_Project_CAP)/Table_Measure_Caps[[#Totals],[Estimated Raw Incentive Total]], "")</f>
        <v/>
      </c>
      <c r="J20" s="44" t="str">
        <f>IF(ISNUMBER($D20)=TRUE,HVAC!K22,"")</f>
        <v/>
      </c>
      <c r="K20" s="12" t="str">
        <f>IF(ISNUMBER($D20)=TRUE,HVAC!L22,"")</f>
        <v/>
      </c>
      <c r="L20" s="29" t="str">
        <f t="shared" si="1"/>
        <v>Version 3.1</v>
      </c>
      <c r="M20" s="99" t="str">
        <f>IF(ISNUMBER($D20)=TRUE,HVAC!E22,"")</f>
        <v/>
      </c>
      <c r="N20" s="41" t="str">
        <f>HVAC!N22</f>
        <v/>
      </c>
    </row>
    <row r="21" spans="1:14" x14ac:dyDescent="0.2">
      <c r="A21" s="13" t="s">
        <v>222</v>
      </c>
      <c r="B21" s="12">
        <f t="shared" si="0"/>
        <v>0</v>
      </c>
      <c r="C21" s="12">
        <f>HVAC!B23</f>
        <v>19</v>
      </c>
      <c r="D21" s="12" t="str">
        <f>HVAC!C23</f>
        <v/>
      </c>
      <c r="E21" s="12" t="str">
        <f>HVAC!F23</f>
        <v/>
      </c>
      <c r="F21" s="12" t="str">
        <f>IF(ISNUMBER($D21)=TRUE,HVAC!G23,"")</f>
        <v/>
      </c>
      <c r="G21" s="12" t="str">
        <f>IF(ISNUMBER($D21)=TRUE,HVAC!O23,"")</f>
        <v/>
      </c>
      <c r="H21" s="139" t="str">
        <f>IF(ISNUMBER($D21)=TRUE,HVAC!P23,"")</f>
        <v/>
      </c>
      <c r="I21" s="44" t="str">
        <f>IFERROR(N21*MIN(Table_Measure_Caps[[#Totals],[Estimated Raw Incentive Total]], Table_Measure_Caps[[#Totals],[Gross Measure Cost Total]], Value_Project_CAP)/Table_Measure_Caps[[#Totals],[Estimated Raw Incentive Total]], "")</f>
        <v/>
      </c>
      <c r="J21" s="44" t="str">
        <f>IF(ISNUMBER($D21)=TRUE,HVAC!K23,"")</f>
        <v/>
      </c>
      <c r="K21" s="12" t="str">
        <f>IF(ISNUMBER($D21)=TRUE,HVAC!L23,"")</f>
        <v/>
      </c>
      <c r="L21" s="29" t="str">
        <f t="shared" si="1"/>
        <v>Version 3.1</v>
      </c>
      <c r="M21" s="99" t="str">
        <f>IF(ISNUMBER($D21)=TRUE,HVAC!E23,"")</f>
        <v/>
      </c>
      <c r="N21" s="41" t="str">
        <f>HVAC!N23</f>
        <v/>
      </c>
    </row>
    <row r="22" spans="1:14" x14ac:dyDescent="0.2">
      <c r="A22" s="13" t="s">
        <v>222</v>
      </c>
      <c r="B22" s="12">
        <f t="shared" si="0"/>
        <v>0</v>
      </c>
      <c r="C22" s="12">
        <f>HVAC!B24</f>
        <v>20</v>
      </c>
      <c r="D22" s="12" t="str">
        <f>HVAC!C24</f>
        <v/>
      </c>
      <c r="E22" s="12" t="str">
        <f>HVAC!F24</f>
        <v/>
      </c>
      <c r="F22" s="12" t="str">
        <f>IF(ISNUMBER($D22)=TRUE,HVAC!G24,"")</f>
        <v/>
      </c>
      <c r="G22" s="12" t="str">
        <f>IF(ISNUMBER($D22)=TRUE,HVAC!O24,"")</f>
        <v/>
      </c>
      <c r="H22" s="139" t="str">
        <f>IF(ISNUMBER($D22)=TRUE,HVAC!P24,"")</f>
        <v/>
      </c>
      <c r="I22" s="44" t="str">
        <f>IFERROR(N22*MIN(Table_Measure_Caps[[#Totals],[Estimated Raw Incentive Total]], Table_Measure_Caps[[#Totals],[Gross Measure Cost Total]], Value_Project_CAP)/Table_Measure_Caps[[#Totals],[Estimated Raw Incentive Total]], "")</f>
        <v/>
      </c>
      <c r="J22" s="44" t="str">
        <f>IF(ISNUMBER($D22)=TRUE,HVAC!K24,"")</f>
        <v/>
      </c>
      <c r="K22" s="12" t="str">
        <f>IF(ISNUMBER($D22)=TRUE,HVAC!L24,"")</f>
        <v/>
      </c>
      <c r="L22" s="29" t="str">
        <f t="shared" si="1"/>
        <v>Version 3.1</v>
      </c>
      <c r="M22" s="99" t="str">
        <f>IF(ISNUMBER($D22)=TRUE,HVAC!E24,"")</f>
        <v/>
      </c>
      <c r="N22" s="41" t="str">
        <f>HVAC!N24</f>
        <v/>
      </c>
    </row>
    <row r="23" spans="1:14" x14ac:dyDescent="0.2">
      <c r="A23" s="13" t="s">
        <v>222</v>
      </c>
      <c r="B23" s="12">
        <f t="shared" si="0"/>
        <v>0</v>
      </c>
      <c r="C23" s="12">
        <f>HVAC!B25</f>
        <v>21</v>
      </c>
      <c r="D23" s="12" t="str">
        <f>HVAC!C25</f>
        <v/>
      </c>
      <c r="E23" s="12" t="str">
        <f>HVAC!F25</f>
        <v/>
      </c>
      <c r="F23" s="12" t="str">
        <f>IF(ISNUMBER($D23)=TRUE,HVAC!G25,"")</f>
        <v/>
      </c>
      <c r="G23" s="12" t="str">
        <f>IF(ISNUMBER($D23)=TRUE,HVAC!O25,"")</f>
        <v/>
      </c>
      <c r="H23" s="139" t="str">
        <f>IF(ISNUMBER($D23)=TRUE,HVAC!P25,"")</f>
        <v/>
      </c>
      <c r="I23" s="44" t="str">
        <f>IFERROR(N23*MIN(Table_Measure_Caps[[#Totals],[Estimated Raw Incentive Total]], Table_Measure_Caps[[#Totals],[Gross Measure Cost Total]], Value_Project_CAP)/Table_Measure_Caps[[#Totals],[Estimated Raw Incentive Total]], "")</f>
        <v/>
      </c>
      <c r="J23" s="44" t="str">
        <f>IF(ISNUMBER($D23)=TRUE,HVAC!K25,"")</f>
        <v/>
      </c>
      <c r="K23" s="12" t="str">
        <f>IF(ISNUMBER($D23)=TRUE,HVAC!L25,"")</f>
        <v/>
      </c>
      <c r="L23" s="29" t="str">
        <f t="shared" si="1"/>
        <v>Version 3.1</v>
      </c>
      <c r="M23" s="99" t="str">
        <f>IF(ISNUMBER($D23)=TRUE,HVAC!E25,"")</f>
        <v/>
      </c>
      <c r="N23" s="41" t="str">
        <f>HVAC!N25</f>
        <v/>
      </c>
    </row>
    <row r="24" spans="1:14" x14ac:dyDescent="0.2">
      <c r="A24" s="13" t="s">
        <v>222</v>
      </c>
      <c r="B24" s="12">
        <f t="shared" si="0"/>
        <v>0</v>
      </c>
      <c r="C24" s="12">
        <f>HVAC!B26</f>
        <v>22</v>
      </c>
      <c r="D24" s="12" t="str">
        <f>HVAC!C26</f>
        <v/>
      </c>
      <c r="E24" s="12" t="str">
        <f>HVAC!F26</f>
        <v/>
      </c>
      <c r="F24" s="12" t="str">
        <f>IF(ISNUMBER($D24)=TRUE,HVAC!G26,"")</f>
        <v/>
      </c>
      <c r="G24" s="12" t="str">
        <f>IF(ISNUMBER($D24)=TRUE,HVAC!O26,"")</f>
        <v/>
      </c>
      <c r="H24" s="139" t="str">
        <f>IF(ISNUMBER($D24)=TRUE,HVAC!P26,"")</f>
        <v/>
      </c>
      <c r="I24" s="44" t="str">
        <f>IFERROR(N24*MIN(Table_Measure_Caps[[#Totals],[Estimated Raw Incentive Total]], Table_Measure_Caps[[#Totals],[Gross Measure Cost Total]], Value_Project_CAP)/Table_Measure_Caps[[#Totals],[Estimated Raw Incentive Total]], "")</f>
        <v/>
      </c>
      <c r="J24" s="44" t="str">
        <f>IF(ISNUMBER($D24)=TRUE,HVAC!K26,"")</f>
        <v/>
      </c>
      <c r="K24" s="12" t="str">
        <f>IF(ISNUMBER($D24)=TRUE,HVAC!L26,"")</f>
        <v/>
      </c>
      <c r="L24" s="29" t="str">
        <f t="shared" si="1"/>
        <v>Version 3.1</v>
      </c>
      <c r="M24" s="99" t="str">
        <f>IF(ISNUMBER($D24)=TRUE,HVAC!E26,"")</f>
        <v/>
      </c>
      <c r="N24" s="41" t="str">
        <f>HVAC!N26</f>
        <v/>
      </c>
    </row>
    <row r="25" spans="1:14" x14ac:dyDescent="0.2">
      <c r="A25" s="13" t="s">
        <v>222</v>
      </c>
      <c r="B25" s="12">
        <f t="shared" si="0"/>
        <v>0</v>
      </c>
      <c r="C25" s="12">
        <f>HVAC!B27</f>
        <v>23</v>
      </c>
      <c r="D25" s="12" t="str">
        <f>HVAC!C27</f>
        <v/>
      </c>
      <c r="E25" s="12" t="str">
        <f>HVAC!F27</f>
        <v/>
      </c>
      <c r="F25" s="12" t="str">
        <f>IF(ISNUMBER($D25)=TRUE,HVAC!G27,"")</f>
        <v/>
      </c>
      <c r="G25" s="12" t="str">
        <f>IF(ISNUMBER($D25)=TRUE,HVAC!O27,"")</f>
        <v/>
      </c>
      <c r="H25" s="139" t="str">
        <f>IF(ISNUMBER($D25)=TRUE,HVAC!P27,"")</f>
        <v/>
      </c>
      <c r="I25" s="44" t="str">
        <f>IFERROR(N25*MIN(Table_Measure_Caps[[#Totals],[Estimated Raw Incentive Total]], Table_Measure_Caps[[#Totals],[Gross Measure Cost Total]], Value_Project_CAP)/Table_Measure_Caps[[#Totals],[Estimated Raw Incentive Total]], "")</f>
        <v/>
      </c>
      <c r="J25" s="44" t="str">
        <f>IF(ISNUMBER($D25)=TRUE,HVAC!K27,"")</f>
        <v/>
      </c>
      <c r="K25" s="12" t="str">
        <f>IF(ISNUMBER($D25)=TRUE,HVAC!L27,"")</f>
        <v/>
      </c>
      <c r="L25" s="29" t="str">
        <f t="shared" si="1"/>
        <v>Version 3.1</v>
      </c>
      <c r="M25" s="99" t="str">
        <f>IF(ISNUMBER($D25)=TRUE,HVAC!E27,"")</f>
        <v/>
      </c>
      <c r="N25" s="41" t="str">
        <f>HVAC!N27</f>
        <v/>
      </c>
    </row>
    <row r="26" spans="1:14" x14ac:dyDescent="0.2">
      <c r="A26" s="13" t="s">
        <v>222</v>
      </c>
      <c r="B26" s="12">
        <f t="shared" si="0"/>
        <v>0</v>
      </c>
      <c r="C26" s="12">
        <f>HVAC!B28</f>
        <v>24</v>
      </c>
      <c r="D26" s="12" t="str">
        <f>HVAC!C28</f>
        <v/>
      </c>
      <c r="E26" s="12" t="str">
        <f>HVAC!F28</f>
        <v/>
      </c>
      <c r="F26" s="12" t="str">
        <f>IF(ISNUMBER($D26)=TRUE,HVAC!G28,"")</f>
        <v/>
      </c>
      <c r="G26" s="12" t="str">
        <f>IF(ISNUMBER($D26)=TRUE,HVAC!O28,"")</f>
        <v/>
      </c>
      <c r="H26" s="139" t="str">
        <f>IF(ISNUMBER($D26)=TRUE,HVAC!P28,"")</f>
        <v/>
      </c>
      <c r="I26" s="44" t="str">
        <f>IFERROR(N26*MIN(Table_Measure_Caps[[#Totals],[Estimated Raw Incentive Total]], Table_Measure_Caps[[#Totals],[Gross Measure Cost Total]], Value_Project_CAP)/Table_Measure_Caps[[#Totals],[Estimated Raw Incentive Total]], "")</f>
        <v/>
      </c>
      <c r="J26" s="44" t="str">
        <f>IF(ISNUMBER($D26)=TRUE,HVAC!K28,"")</f>
        <v/>
      </c>
      <c r="K26" s="12" t="str">
        <f>IF(ISNUMBER($D26)=TRUE,HVAC!L28,"")</f>
        <v/>
      </c>
      <c r="L26" s="29" t="str">
        <f t="shared" si="1"/>
        <v>Version 3.1</v>
      </c>
      <c r="M26" s="99" t="str">
        <f>IF(ISNUMBER($D26)=TRUE,HVAC!E28,"")</f>
        <v/>
      </c>
      <c r="N26" s="41" t="str">
        <f>HVAC!N28</f>
        <v/>
      </c>
    </row>
    <row r="27" spans="1:14" x14ac:dyDescent="0.2">
      <c r="A27" s="13" t="s">
        <v>222</v>
      </c>
      <c r="B27" s="12">
        <f t="shared" si="0"/>
        <v>0</v>
      </c>
      <c r="C27" s="12">
        <f>HVAC!B29</f>
        <v>25</v>
      </c>
      <c r="D27" s="12" t="str">
        <f>HVAC!C29</f>
        <v/>
      </c>
      <c r="E27" s="12" t="str">
        <f>HVAC!F29</f>
        <v/>
      </c>
      <c r="F27" s="12" t="str">
        <f>IF(ISNUMBER($D27)=TRUE,HVAC!G29,"")</f>
        <v/>
      </c>
      <c r="G27" s="12" t="str">
        <f>IF(ISNUMBER($D27)=TRUE,HVAC!O29,"")</f>
        <v/>
      </c>
      <c r="H27" s="139" t="str">
        <f>IF(ISNUMBER($D27)=TRUE,HVAC!P29,"")</f>
        <v/>
      </c>
      <c r="I27" s="44" t="str">
        <f>IFERROR(N27*MIN(Table_Measure_Caps[[#Totals],[Estimated Raw Incentive Total]], Table_Measure_Caps[[#Totals],[Gross Measure Cost Total]], Value_Project_CAP)/Table_Measure_Caps[[#Totals],[Estimated Raw Incentive Total]], "")</f>
        <v/>
      </c>
      <c r="J27" s="44" t="str">
        <f>IF(ISNUMBER($D27)=TRUE,HVAC!K29,"")</f>
        <v/>
      </c>
      <c r="K27" s="12" t="str">
        <f>IF(ISNUMBER($D27)=TRUE,HVAC!L29,"")</f>
        <v/>
      </c>
      <c r="L27" s="29" t="str">
        <f t="shared" si="1"/>
        <v>Version 3.1</v>
      </c>
      <c r="M27" s="99" t="str">
        <f>IF(ISNUMBER($D27)=TRUE,HVAC!E29,"")</f>
        <v/>
      </c>
      <c r="N27" s="41" t="str">
        <f>HVAC!N29</f>
        <v/>
      </c>
    </row>
    <row r="28" spans="1:14" x14ac:dyDescent="0.2">
      <c r="A28" s="13" t="s">
        <v>222</v>
      </c>
      <c r="B28" s="12">
        <f t="shared" si="0"/>
        <v>0</v>
      </c>
      <c r="C28" s="12">
        <f>HVAC!B30</f>
        <v>26</v>
      </c>
      <c r="D28" s="12" t="str">
        <f>HVAC!C30</f>
        <v/>
      </c>
      <c r="E28" s="12" t="str">
        <f>HVAC!F30</f>
        <v/>
      </c>
      <c r="F28" s="12" t="str">
        <f>IF(ISNUMBER($D28)=TRUE,HVAC!G30,"")</f>
        <v/>
      </c>
      <c r="G28" s="12" t="str">
        <f>IF(ISNUMBER($D28)=TRUE,HVAC!O30,"")</f>
        <v/>
      </c>
      <c r="H28" s="139" t="str">
        <f>IF(ISNUMBER($D28)=TRUE,HVAC!P30,"")</f>
        <v/>
      </c>
      <c r="I28" s="44" t="str">
        <f>IFERROR(N28*MIN(Table_Measure_Caps[[#Totals],[Estimated Raw Incentive Total]], Table_Measure_Caps[[#Totals],[Gross Measure Cost Total]], Value_Project_CAP)/Table_Measure_Caps[[#Totals],[Estimated Raw Incentive Total]], "")</f>
        <v/>
      </c>
      <c r="J28" s="44" t="str">
        <f>IF(ISNUMBER($D28)=TRUE,HVAC!K30,"")</f>
        <v/>
      </c>
      <c r="K28" s="12" t="str">
        <f>IF(ISNUMBER($D28)=TRUE,HVAC!L30,"")</f>
        <v/>
      </c>
      <c r="L28" s="29" t="str">
        <f t="shared" si="1"/>
        <v>Version 3.1</v>
      </c>
      <c r="M28" s="99" t="str">
        <f>IF(ISNUMBER($D28)=TRUE,HVAC!E30,"")</f>
        <v/>
      </c>
      <c r="N28" s="41" t="str">
        <f>HVAC!N30</f>
        <v/>
      </c>
    </row>
    <row r="29" spans="1:14" x14ac:dyDescent="0.2">
      <c r="A29" s="13" t="s">
        <v>222</v>
      </c>
      <c r="B29" s="12">
        <f t="shared" si="0"/>
        <v>0</v>
      </c>
      <c r="C29" s="12">
        <f>HVAC!B31</f>
        <v>27</v>
      </c>
      <c r="D29" s="12" t="str">
        <f>HVAC!C31</f>
        <v/>
      </c>
      <c r="E29" s="12" t="str">
        <f>HVAC!F31</f>
        <v/>
      </c>
      <c r="F29" s="12" t="str">
        <f>IF(ISNUMBER($D29)=TRUE,HVAC!G31,"")</f>
        <v/>
      </c>
      <c r="G29" s="12" t="str">
        <f>IF(ISNUMBER($D29)=TRUE,HVAC!O31,"")</f>
        <v/>
      </c>
      <c r="H29" s="139" t="str">
        <f>IF(ISNUMBER($D29)=TRUE,HVAC!P31,"")</f>
        <v/>
      </c>
      <c r="I29" s="44" t="str">
        <f>IFERROR(N29*MIN(Table_Measure_Caps[[#Totals],[Estimated Raw Incentive Total]], Table_Measure_Caps[[#Totals],[Gross Measure Cost Total]], Value_Project_CAP)/Table_Measure_Caps[[#Totals],[Estimated Raw Incentive Total]], "")</f>
        <v/>
      </c>
      <c r="J29" s="44" t="str">
        <f>IF(ISNUMBER($D29)=TRUE,HVAC!K31,"")</f>
        <v/>
      </c>
      <c r="K29" s="12" t="str">
        <f>IF(ISNUMBER($D29)=TRUE,HVAC!L31,"")</f>
        <v/>
      </c>
      <c r="L29" s="29" t="str">
        <f t="shared" si="1"/>
        <v>Version 3.1</v>
      </c>
      <c r="M29" s="99" t="str">
        <f>IF(ISNUMBER($D29)=TRUE,HVAC!E31,"")</f>
        <v/>
      </c>
      <c r="N29" s="41" t="str">
        <f>HVAC!N31</f>
        <v/>
      </c>
    </row>
    <row r="30" spans="1:14" x14ac:dyDescent="0.2">
      <c r="A30" s="13" t="s">
        <v>222</v>
      </c>
      <c r="B30" s="12">
        <f t="shared" si="0"/>
        <v>0</v>
      </c>
      <c r="C30" s="12">
        <f>HVAC!B32</f>
        <v>28</v>
      </c>
      <c r="D30" s="12" t="str">
        <f>HVAC!C32</f>
        <v/>
      </c>
      <c r="E30" s="12" t="str">
        <f>HVAC!F32</f>
        <v/>
      </c>
      <c r="F30" s="12" t="str">
        <f>IF(ISNUMBER($D30)=TRUE,HVAC!G32,"")</f>
        <v/>
      </c>
      <c r="G30" s="12" t="str">
        <f>IF(ISNUMBER($D30)=TRUE,HVAC!O32,"")</f>
        <v/>
      </c>
      <c r="H30" s="139" t="str">
        <f>IF(ISNUMBER($D30)=TRUE,HVAC!P32,"")</f>
        <v/>
      </c>
      <c r="I30" s="44" t="str">
        <f>IFERROR(N30*MIN(Table_Measure_Caps[[#Totals],[Estimated Raw Incentive Total]], Table_Measure_Caps[[#Totals],[Gross Measure Cost Total]], Value_Project_CAP)/Table_Measure_Caps[[#Totals],[Estimated Raw Incentive Total]], "")</f>
        <v/>
      </c>
      <c r="J30" s="44" t="str">
        <f>IF(ISNUMBER($D30)=TRUE,HVAC!K32,"")</f>
        <v/>
      </c>
      <c r="K30" s="12" t="str">
        <f>IF(ISNUMBER($D30)=TRUE,HVAC!L32,"")</f>
        <v/>
      </c>
      <c r="L30" s="29" t="str">
        <f t="shared" si="1"/>
        <v>Version 3.1</v>
      </c>
      <c r="M30" s="99" t="str">
        <f>IF(ISNUMBER($D30)=TRUE,HVAC!E32,"")</f>
        <v/>
      </c>
      <c r="N30" s="41" t="str">
        <f>HVAC!N32</f>
        <v/>
      </c>
    </row>
    <row r="31" spans="1:14" x14ac:dyDescent="0.2">
      <c r="A31" s="13" t="s">
        <v>222</v>
      </c>
      <c r="B31" s="12">
        <f t="shared" si="0"/>
        <v>0</v>
      </c>
      <c r="C31" s="12">
        <f>HVAC!B33</f>
        <v>29</v>
      </c>
      <c r="D31" s="12" t="str">
        <f>HVAC!C33</f>
        <v/>
      </c>
      <c r="E31" s="12" t="str">
        <f>HVAC!F33</f>
        <v/>
      </c>
      <c r="F31" s="12" t="str">
        <f>IF(ISNUMBER($D31)=TRUE,HVAC!G33,"")</f>
        <v/>
      </c>
      <c r="G31" s="12" t="str">
        <f>IF(ISNUMBER($D31)=TRUE,HVAC!O33,"")</f>
        <v/>
      </c>
      <c r="H31" s="139" t="str">
        <f>IF(ISNUMBER($D31)=TRUE,HVAC!P33,"")</f>
        <v/>
      </c>
      <c r="I31" s="44" t="str">
        <f>IFERROR(N31*MIN(Table_Measure_Caps[[#Totals],[Estimated Raw Incentive Total]], Table_Measure_Caps[[#Totals],[Gross Measure Cost Total]], Value_Project_CAP)/Table_Measure_Caps[[#Totals],[Estimated Raw Incentive Total]], "")</f>
        <v/>
      </c>
      <c r="J31" s="44" t="str">
        <f>IF(ISNUMBER($D31)=TRUE,HVAC!K33,"")</f>
        <v/>
      </c>
      <c r="K31" s="12" t="str">
        <f>IF(ISNUMBER($D31)=TRUE,HVAC!L33,"")</f>
        <v/>
      </c>
      <c r="L31" s="29" t="str">
        <f t="shared" si="1"/>
        <v>Version 3.1</v>
      </c>
      <c r="M31" s="99" t="str">
        <f>IF(ISNUMBER($D31)=TRUE,HVAC!E33,"")</f>
        <v/>
      </c>
      <c r="N31" s="41" t="str">
        <f>HVAC!N33</f>
        <v/>
      </c>
    </row>
    <row r="32" spans="1:14" x14ac:dyDescent="0.2">
      <c r="A32" s="13" t="s">
        <v>222</v>
      </c>
      <c r="B32" s="12">
        <f t="shared" si="0"/>
        <v>0</v>
      </c>
      <c r="C32" s="12">
        <f>HVAC!B34</f>
        <v>30</v>
      </c>
      <c r="D32" s="12" t="str">
        <f>HVAC!C34</f>
        <v/>
      </c>
      <c r="E32" s="12" t="str">
        <f>HVAC!F34</f>
        <v/>
      </c>
      <c r="F32" s="12" t="str">
        <f>IF(ISNUMBER($D32)=TRUE,HVAC!G34,"")</f>
        <v/>
      </c>
      <c r="G32" s="12" t="str">
        <f>IF(ISNUMBER($D32)=TRUE,HVAC!O34,"")</f>
        <v/>
      </c>
      <c r="H32" s="139" t="str">
        <f>IF(ISNUMBER($D32)=TRUE,HVAC!P34,"")</f>
        <v/>
      </c>
      <c r="I32" s="44" t="str">
        <f>IFERROR(N32*MIN(Table_Measure_Caps[[#Totals],[Estimated Raw Incentive Total]], Table_Measure_Caps[[#Totals],[Gross Measure Cost Total]], Value_Project_CAP)/Table_Measure_Caps[[#Totals],[Estimated Raw Incentive Total]], "")</f>
        <v/>
      </c>
      <c r="J32" s="44" t="str">
        <f>IF(ISNUMBER($D32)=TRUE,HVAC!K34,"")</f>
        <v/>
      </c>
      <c r="K32" s="12" t="str">
        <f>IF(ISNUMBER($D32)=TRUE,HVAC!L34,"")</f>
        <v/>
      </c>
      <c r="L32" s="29" t="str">
        <f t="shared" si="1"/>
        <v>Version 3.1</v>
      </c>
      <c r="M32" s="99" t="str">
        <f>IF(ISNUMBER($D32)=TRUE,HVAC!E34,"")</f>
        <v/>
      </c>
      <c r="N32" s="41" t="str">
        <f>HVAC!N34</f>
        <v/>
      </c>
    </row>
    <row r="33" spans="1:14" x14ac:dyDescent="0.2">
      <c r="A33" s="13" t="s">
        <v>222</v>
      </c>
      <c r="B33" s="12">
        <f t="shared" si="0"/>
        <v>0</v>
      </c>
      <c r="C33" s="12">
        <f>HVAC!B35</f>
        <v>31</v>
      </c>
      <c r="D33" s="12" t="str">
        <f>HVAC!C35</f>
        <v/>
      </c>
      <c r="E33" s="12" t="str">
        <f>HVAC!F35</f>
        <v/>
      </c>
      <c r="F33" s="12" t="str">
        <f>IF(ISNUMBER($D33)=TRUE,HVAC!G35,"")</f>
        <v/>
      </c>
      <c r="G33" s="12" t="str">
        <f>IF(ISNUMBER($D33)=TRUE,HVAC!O35,"")</f>
        <v/>
      </c>
      <c r="H33" s="139" t="str">
        <f>IF(ISNUMBER($D33)=TRUE,HVAC!P35,"")</f>
        <v/>
      </c>
      <c r="I33" s="44" t="str">
        <f>IFERROR(N33*MIN(Table_Measure_Caps[[#Totals],[Estimated Raw Incentive Total]], Table_Measure_Caps[[#Totals],[Gross Measure Cost Total]], Value_Project_CAP)/Table_Measure_Caps[[#Totals],[Estimated Raw Incentive Total]], "")</f>
        <v/>
      </c>
      <c r="J33" s="44" t="str">
        <f>IF(ISNUMBER($D33)=TRUE,HVAC!K35,"")</f>
        <v/>
      </c>
      <c r="K33" s="12" t="str">
        <f>IF(ISNUMBER($D33)=TRUE,HVAC!L35,"")</f>
        <v/>
      </c>
      <c r="L33" s="29" t="str">
        <f t="shared" si="1"/>
        <v>Version 3.1</v>
      </c>
      <c r="M33" s="99" t="str">
        <f>IF(ISNUMBER($D33)=TRUE,HVAC!E35,"")</f>
        <v/>
      </c>
      <c r="N33" s="41" t="str">
        <f>HVAC!N35</f>
        <v/>
      </c>
    </row>
    <row r="34" spans="1:14" x14ac:dyDescent="0.2">
      <c r="A34" s="13" t="s">
        <v>222</v>
      </c>
      <c r="B34" s="12">
        <f t="shared" si="0"/>
        <v>0</v>
      </c>
      <c r="C34" s="12">
        <f>HVAC!B36</f>
        <v>32</v>
      </c>
      <c r="D34" s="12" t="str">
        <f>HVAC!C36</f>
        <v/>
      </c>
      <c r="E34" s="12" t="str">
        <f>HVAC!F36</f>
        <v/>
      </c>
      <c r="F34" s="12" t="str">
        <f>IF(ISNUMBER($D34)=TRUE,HVAC!G36,"")</f>
        <v/>
      </c>
      <c r="G34" s="12" t="str">
        <f>IF(ISNUMBER($D34)=TRUE,HVAC!O36,"")</f>
        <v/>
      </c>
      <c r="H34" s="139" t="str">
        <f>IF(ISNUMBER($D34)=TRUE,HVAC!P36,"")</f>
        <v/>
      </c>
      <c r="I34" s="44" t="str">
        <f>IFERROR(N34*MIN(Table_Measure_Caps[[#Totals],[Estimated Raw Incentive Total]], Table_Measure_Caps[[#Totals],[Gross Measure Cost Total]], Value_Project_CAP)/Table_Measure_Caps[[#Totals],[Estimated Raw Incentive Total]], "")</f>
        <v/>
      </c>
      <c r="J34" s="44" t="str">
        <f>IF(ISNUMBER($D34)=TRUE,HVAC!K36,"")</f>
        <v/>
      </c>
      <c r="K34" s="12" t="str">
        <f>IF(ISNUMBER($D34)=TRUE,HVAC!L36,"")</f>
        <v/>
      </c>
      <c r="L34" s="29" t="str">
        <f t="shared" si="1"/>
        <v>Version 3.1</v>
      </c>
      <c r="M34" s="99" t="str">
        <f>IF(ISNUMBER($D34)=TRUE,HVAC!E36,"")</f>
        <v/>
      </c>
      <c r="N34" s="41" t="str">
        <f>HVAC!N36</f>
        <v/>
      </c>
    </row>
    <row r="35" spans="1:14" x14ac:dyDescent="0.2">
      <c r="A35" s="13" t="s">
        <v>222</v>
      </c>
      <c r="B35" s="12">
        <f t="shared" si="0"/>
        <v>0</v>
      </c>
      <c r="C35" s="12">
        <f>HVAC!B37</f>
        <v>33</v>
      </c>
      <c r="D35" s="12" t="str">
        <f>HVAC!C37</f>
        <v/>
      </c>
      <c r="E35" s="12" t="str">
        <f>HVAC!F37</f>
        <v/>
      </c>
      <c r="F35" s="12" t="str">
        <f>IF(ISNUMBER($D35)=TRUE,HVAC!G37,"")</f>
        <v/>
      </c>
      <c r="G35" s="12" t="str">
        <f>IF(ISNUMBER($D35)=TRUE,HVAC!O37,"")</f>
        <v/>
      </c>
      <c r="H35" s="139" t="str">
        <f>IF(ISNUMBER($D35)=TRUE,HVAC!P37,"")</f>
        <v/>
      </c>
      <c r="I35" s="44" t="str">
        <f>IFERROR(N35*MIN(Table_Measure_Caps[[#Totals],[Estimated Raw Incentive Total]], Table_Measure_Caps[[#Totals],[Gross Measure Cost Total]], Value_Project_CAP)/Table_Measure_Caps[[#Totals],[Estimated Raw Incentive Total]], "")</f>
        <v/>
      </c>
      <c r="J35" s="44" t="str">
        <f>IF(ISNUMBER($D35)=TRUE,HVAC!K37,"")</f>
        <v/>
      </c>
      <c r="K35" s="12" t="str">
        <f>IF(ISNUMBER($D35)=TRUE,HVAC!L37,"")</f>
        <v/>
      </c>
      <c r="L35" s="29" t="str">
        <f t="shared" si="1"/>
        <v>Version 3.1</v>
      </c>
      <c r="M35" s="99" t="str">
        <f>IF(ISNUMBER($D35)=TRUE,HVAC!E37,"")</f>
        <v/>
      </c>
      <c r="N35" s="41" t="str">
        <f>HVAC!N37</f>
        <v/>
      </c>
    </row>
    <row r="36" spans="1:14" x14ac:dyDescent="0.2">
      <c r="A36" s="13" t="s">
        <v>222</v>
      </c>
      <c r="B36" s="12">
        <f t="shared" si="0"/>
        <v>0</v>
      </c>
      <c r="C36" s="12">
        <f>HVAC!B38</f>
        <v>34</v>
      </c>
      <c r="D36" s="12" t="str">
        <f>HVAC!C38</f>
        <v/>
      </c>
      <c r="E36" s="12" t="str">
        <f>HVAC!F38</f>
        <v/>
      </c>
      <c r="F36" s="12" t="str">
        <f>IF(ISNUMBER($D36)=TRUE,HVAC!G38,"")</f>
        <v/>
      </c>
      <c r="G36" s="12" t="str">
        <f>IF(ISNUMBER($D36)=TRUE,HVAC!O38,"")</f>
        <v/>
      </c>
      <c r="H36" s="139" t="str">
        <f>IF(ISNUMBER($D36)=TRUE,HVAC!P38,"")</f>
        <v/>
      </c>
      <c r="I36" s="44" t="str">
        <f>IFERROR(N36*MIN(Table_Measure_Caps[[#Totals],[Estimated Raw Incentive Total]], Table_Measure_Caps[[#Totals],[Gross Measure Cost Total]], Value_Project_CAP)/Table_Measure_Caps[[#Totals],[Estimated Raw Incentive Total]], "")</f>
        <v/>
      </c>
      <c r="J36" s="44" t="str">
        <f>IF(ISNUMBER($D36)=TRUE,HVAC!K38,"")</f>
        <v/>
      </c>
      <c r="K36" s="12" t="str">
        <f>IF(ISNUMBER($D36)=TRUE,HVAC!L38,"")</f>
        <v/>
      </c>
      <c r="L36" s="29" t="str">
        <f t="shared" si="1"/>
        <v>Version 3.1</v>
      </c>
      <c r="M36" s="99" t="str">
        <f>IF(ISNUMBER($D36)=TRUE,HVAC!E38,"")</f>
        <v/>
      </c>
      <c r="N36" s="41" t="str">
        <f>HVAC!N38</f>
        <v/>
      </c>
    </row>
    <row r="37" spans="1:14" x14ac:dyDescent="0.2">
      <c r="A37" s="13" t="s">
        <v>222</v>
      </c>
      <c r="B37" s="12">
        <f t="shared" si="0"/>
        <v>0</v>
      </c>
      <c r="C37" s="12">
        <f>HVAC!B39</f>
        <v>35</v>
      </c>
      <c r="D37" s="12" t="str">
        <f>HVAC!C39</f>
        <v/>
      </c>
      <c r="E37" s="12" t="str">
        <f>HVAC!F39</f>
        <v/>
      </c>
      <c r="F37" s="12" t="str">
        <f>IF(ISNUMBER($D37)=TRUE,HVAC!G39,"")</f>
        <v/>
      </c>
      <c r="G37" s="12" t="str">
        <f>IF(ISNUMBER($D37)=TRUE,HVAC!O39,"")</f>
        <v/>
      </c>
      <c r="H37" s="139" t="str">
        <f>IF(ISNUMBER($D37)=TRUE,HVAC!P39,"")</f>
        <v/>
      </c>
      <c r="I37" s="44" t="str">
        <f>IFERROR(N37*MIN(Table_Measure_Caps[[#Totals],[Estimated Raw Incentive Total]], Table_Measure_Caps[[#Totals],[Gross Measure Cost Total]], Value_Project_CAP)/Table_Measure_Caps[[#Totals],[Estimated Raw Incentive Total]], "")</f>
        <v/>
      </c>
      <c r="J37" s="44" t="str">
        <f>IF(ISNUMBER($D37)=TRUE,HVAC!K39,"")</f>
        <v/>
      </c>
      <c r="K37" s="12" t="str">
        <f>IF(ISNUMBER($D37)=TRUE,HVAC!L39,"")</f>
        <v/>
      </c>
      <c r="L37" s="29" t="str">
        <f t="shared" si="1"/>
        <v>Version 3.1</v>
      </c>
      <c r="M37" s="99" t="str">
        <f>IF(ISNUMBER($D37)=TRUE,HVAC!E39,"")</f>
        <v/>
      </c>
      <c r="N37" s="41" t="str">
        <f>HVAC!N39</f>
        <v/>
      </c>
    </row>
    <row r="38" spans="1:14" x14ac:dyDescent="0.2">
      <c r="A38" s="13" t="s">
        <v>222</v>
      </c>
      <c r="B38" s="12">
        <f t="shared" si="0"/>
        <v>0</v>
      </c>
      <c r="C38" s="12">
        <f>HVAC!B40</f>
        <v>36</v>
      </c>
      <c r="D38" s="12" t="str">
        <f>HVAC!C40</f>
        <v/>
      </c>
      <c r="E38" s="12" t="str">
        <f>HVAC!F40</f>
        <v/>
      </c>
      <c r="F38" s="12" t="str">
        <f>IF(ISNUMBER($D38)=TRUE,HVAC!G40,"")</f>
        <v/>
      </c>
      <c r="G38" s="12" t="str">
        <f>IF(ISNUMBER($D38)=TRUE,HVAC!O40,"")</f>
        <v/>
      </c>
      <c r="H38" s="139" t="str">
        <f>IF(ISNUMBER($D38)=TRUE,HVAC!P40,"")</f>
        <v/>
      </c>
      <c r="I38" s="44" t="str">
        <f>IFERROR(N38*MIN(Table_Measure_Caps[[#Totals],[Estimated Raw Incentive Total]], Table_Measure_Caps[[#Totals],[Gross Measure Cost Total]], Value_Project_CAP)/Table_Measure_Caps[[#Totals],[Estimated Raw Incentive Total]], "")</f>
        <v/>
      </c>
      <c r="J38" s="44" t="str">
        <f>IF(ISNUMBER($D38)=TRUE,HVAC!K40,"")</f>
        <v/>
      </c>
      <c r="K38" s="12" t="str">
        <f>IF(ISNUMBER($D38)=TRUE,HVAC!L40,"")</f>
        <v/>
      </c>
      <c r="L38" s="29" t="str">
        <f t="shared" si="1"/>
        <v>Version 3.1</v>
      </c>
      <c r="M38" s="99" t="str">
        <f>IF(ISNUMBER($D38)=TRUE,HVAC!E40,"")</f>
        <v/>
      </c>
      <c r="N38" s="41" t="str">
        <f>HVAC!N40</f>
        <v/>
      </c>
    </row>
    <row r="39" spans="1:14" x14ac:dyDescent="0.2">
      <c r="A39" s="13" t="s">
        <v>222</v>
      </c>
      <c r="B39" s="12">
        <f t="shared" si="0"/>
        <v>0</v>
      </c>
      <c r="C39" s="12">
        <f>HVAC!B41</f>
        <v>37</v>
      </c>
      <c r="D39" s="12" t="str">
        <f>HVAC!C41</f>
        <v/>
      </c>
      <c r="E39" s="12" t="str">
        <f>HVAC!F41</f>
        <v/>
      </c>
      <c r="F39" s="12" t="str">
        <f>IF(ISNUMBER($D39)=TRUE,HVAC!G41,"")</f>
        <v/>
      </c>
      <c r="G39" s="12" t="str">
        <f>IF(ISNUMBER($D39)=TRUE,HVAC!O41,"")</f>
        <v/>
      </c>
      <c r="H39" s="139" t="str">
        <f>IF(ISNUMBER($D39)=TRUE,HVAC!P41,"")</f>
        <v/>
      </c>
      <c r="I39" s="44" t="str">
        <f>IFERROR(N39*MIN(Table_Measure_Caps[[#Totals],[Estimated Raw Incentive Total]], Table_Measure_Caps[[#Totals],[Gross Measure Cost Total]], Value_Project_CAP)/Table_Measure_Caps[[#Totals],[Estimated Raw Incentive Total]], "")</f>
        <v/>
      </c>
      <c r="J39" s="44" t="str">
        <f>IF(ISNUMBER($D39)=TRUE,HVAC!K41,"")</f>
        <v/>
      </c>
      <c r="K39" s="12" t="str">
        <f>IF(ISNUMBER($D39)=TRUE,HVAC!L41,"")</f>
        <v/>
      </c>
      <c r="L39" s="29" t="str">
        <f t="shared" si="1"/>
        <v>Version 3.1</v>
      </c>
      <c r="M39" s="99" t="str">
        <f>IF(ISNUMBER($D39)=TRUE,HVAC!E41,"")</f>
        <v/>
      </c>
      <c r="N39" s="41" t="str">
        <f>HVAC!N41</f>
        <v/>
      </c>
    </row>
    <row r="40" spans="1:14" x14ac:dyDescent="0.2">
      <c r="A40" s="13" t="s">
        <v>222</v>
      </c>
      <c r="B40" s="12">
        <f t="shared" si="0"/>
        <v>0</v>
      </c>
      <c r="C40" s="12">
        <f>HVAC!B42</f>
        <v>38</v>
      </c>
      <c r="D40" s="12" t="str">
        <f>HVAC!C42</f>
        <v/>
      </c>
      <c r="E40" s="12" t="str">
        <f>HVAC!F42</f>
        <v/>
      </c>
      <c r="F40" s="12" t="str">
        <f>IF(ISNUMBER($D40)=TRUE,HVAC!G42,"")</f>
        <v/>
      </c>
      <c r="G40" s="12" t="str">
        <f>IF(ISNUMBER($D40)=TRUE,HVAC!O42,"")</f>
        <v/>
      </c>
      <c r="H40" s="139" t="str">
        <f>IF(ISNUMBER($D40)=TRUE,HVAC!P42,"")</f>
        <v/>
      </c>
      <c r="I40" s="44" t="str">
        <f>IFERROR(N40*MIN(Table_Measure_Caps[[#Totals],[Estimated Raw Incentive Total]], Table_Measure_Caps[[#Totals],[Gross Measure Cost Total]], Value_Project_CAP)/Table_Measure_Caps[[#Totals],[Estimated Raw Incentive Total]], "")</f>
        <v/>
      </c>
      <c r="J40" s="44" t="str">
        <f>IF(ISNUMBER($D40)=TRUE,HVAC!K42,"")</f>
        <v/>
      </c>
      <c r="K40" s="12" t="str">
        <f>IF(ISNUMBER($D40)=TRUE,HVAC!L42,"")</f>
        <v/>
      </c>
      <c r="L40" s="29" t="str">
        <f t="shared" si="1"/>
        <v>Version 3.1</v>
      </c>
      <c r="M40" s="99" t="str">
        <f>IF(ISNUMBER($D40)=TRUE,HVAC!E42,"")</f>
        <v/>
      </c>
      <c r="N40" s="41" t="str">
        <f>HVAC!N42</f>
        <v/>
      </c>
    </row>
    <row r="41" spans="1:14" x14ac:dyDescent="0.2">
      <c r="A41" s="13" t="s">
        <v>222</v>
      </c>
      <c r="B41" s="12">
        <f t="shared" si="0"/>
        <v>0</v>
      </c>
      <c r="C41" s="12">
        <f>HVAC!B43</f>
        <v>39</v>
      </c>
      <c r="D41" s="12" t="str">
        <f>HVAC!C43</f>
        <v/>
      </c>
      <c r="E41" s="12" t="str">
        <f>HVAC!F43</f>
        <v/>
      </c>
      <c r="F41" s="12" t="str">
        <f>IF(ISNUMBER($D41)=TRUE,HVAC!G43,"")</f>
        <v/>
      </c>
      <c r="G41" s="12" t="str">
        <f>IF(ISNUMBER($D41)=TRUE,HVAC!O43,"")</f>
        <v/>
      </c>
      <c r="H41" s="139" t="str">
        <f>IF(ISNUMBER($D41)=TRUE,HVAC!P43,"")</f>
        <v/>
      </c>
      <c r="I41" s="44" t="str">
        <f>IFERROR(N41*MIN(Table_Measure_Caps[[#Totals],[Estimated Raw Incentive Total]], Table_Measure_Caps[[#Totals],[Gross Measure Cost Total]], Value_Project_CAP)/Table_Measure_Caps[[#Totals],[Estimated Raw Incentive Total]], "")</f>
        <v/>
      </c>
      <c r="J41" s="44" t="str">
        <f>IF(ISNUMBER($D41)=TRUE,HVAC!K43,"")</f>
        <v/>
      </c>
      <c r="K41" s="12" t="str">
        <f>IF(ISNUMBER($D41)=TRUE,HVAC!L43,"")</f>
        <v/>
      </c>
      <c r="L41" s="29" t="str">
        <f t="shared" si="1"/>
        <v>Version 3.1</v>
      </c>
      <c r="M41" s="99" t="str">
        <f>IF(ISNUMBER($D41)=TRUE,HVAC!E43,"")</f>
        <v/>
      </c>
      <c r="N41" s="41" t="str">
        <f>HVAC!N43</f>
        <v/>
      </c>
    </row>
    <row r="42" spans="1:14" x14ac:dyDescent="0.2">
      <c r="A42" s="13" t="s">
        <v>222</v>
      </c>
      <c r="B42" s="12">
        <f t="shared" si="0"/>
        <v>0</v>
      </c>
      <c r="C42" s="12">
        <f>HVAC!B44</f>
        <v>40</v>
      </c>
      <c r="D42" s="12" t="str">
        <f>HVAC!C44</f>
        <v/>
      </c>
      <c r="E42" s="12" t="str">
        <f>HVAC!F44</f>
        <v/>
      </c>
      <c r="F42" s="12" t="str">
        <f>IF(ISNUMBER($D42)=TRUE,HVAC!G44,"")</f>
        <v/>
      </c>
      <c r="G42" s="12" t="str">
        <f>IF(ISNUMBER($D42)=TRUE,HVAC!O44,"")</f>
        <v/>
      </c>
      <c r="H42" s="139" t="str">
        <f>IF(ISNUMBER($D42)=TRUE,HVAC!P44,"")</f>
        <v/>
      </c>
      <c r="I42" s="44" t="str">
        <f>IFERROR(N42*MIN(Table_Measure_Caps[[#Totals],[Estimated Raw Incentive Total]], Table_Measure_Caps[[#Totals],[Gross Measure Cost Total]], Value_Project_CAP)/Table_Measure_Caps[[#Totals],[Estimated Raw Incentive Total]], "")</f>
        <v/>
      </c>
      <c r="J42" s="44" t="str">
        <f>IF(ISNUMBER($D42)=TRUE,HVAC!K44,"")</f>
        <v/>
      </c>
      <c r="K42" s="12" t="str">
        <f>IF(ISNUMBER($D42)=TRUE,HVAC!L44,"")</f>
        <v/>
      </c>
      <c r="L42" s="29" t="str">
        <f t="shared" si="1"/>
        <v>Version 3.1</v>
      </c>
      <c r="M42" s="99" t="str">
        <f>IF(ISNUMBER($D42)=TRUE,HVAC!E44,"")</f>
        <v/>
      </c>
      <c r="N42" s="41" t="str">
        <f>HVAC!N44</f>
        <v/>
      </c>
    </row>
    <row r="43" spans="1:14" x14ac:dyDescent="0.2">
      <c r="A43" s="13" t="s">
        <v>222</v>
      </c>
      <c r="B43" s="12">
        <f t="shared" si="0"/>
        <v>0</v>
      </c>
      <c r="C43" s="12">
        <f>HVAC!B45</f>
        <v>41</v>
      </c>
      <c r="D43" s="12" t="str">
        <f>HVAC!C45</f>
        <v/>
      </c>
      <c r="E43" s="12" t="str">
        <f>HVAC!F45</f>
        <v/>
      </c>
      <c r="F43" s="12" t="str">
        <f>IF(ISNUMBER($D43)=TRUE,HVAC!G45,"")</f>
        <v/>
      </c>
      <c r="G43" s="12" t="str">
        <f>IF(ISNUMBER($D43)=TRUE,HVAC!O45,"")</f>
        <v/>
      </c>
      <c r="H43" s="139" t="str">
        <f>IF(ISNUMBER($D43)=TRUE,HVAC!P45,"")</f>
        <v/>
      </c>
      <c r="I43" s="44" t="str">
        <f>IFERROR(N43*MIN(Table_Measure_Caps[[#Totals],[Estimated Raw Incentive Total]], Table_Measure_Caps[[#Totals],[Gross Measure Cost Total]], Value_Project_CAP)/Table_Measure_Caps[[#Totals],[Estimated Raw Incentive Total]], "")</f>
        <v/>
      </c>
      <c r="J43" s="44" t="str">
        <f>IF(ISNUMBER($D43)=TRUE,HVAC!K45,"")</f>
        <v/>
      </c>
      <c r="K43" s="12" t="str">
        <f>IF(ISNUMBER($D43)=TRUE,HVAC!L45,"")</f>
        <v/>
      </c>
      <c r="L43" s="29" t="str">
        <f t="shared" si="1"/>
        <v>Version 3.1</v>
      </c>
      <c r="M43" s="99" t="str">
        <f>IF(ISNUMBER($D43)=TRUE,HVAC!E45,"")</f>
        <v/>
      </c>
      <c r="N43" s="41" t="str">
        <f>HVAC!N45</f>
        <v/>
      </c>
    </row>
    <row r="44" spans="1:14" x14ac:dyDescent="0.2">
      <c r="A44" s="13" t="s">
        <v>222</v>
      </c>
      <c r="B44" s="12">
        <f t="shared" si="0"/>
        <v>0</v>
      </c>
      <c r="C44" s="12">
        <f>HVAC!B46</f>
        <v>42</v>
      </c>
      <c r="D44" s="12" t="str">
        <f>HVAC!C46</f>
        <v/>
      </c>
      <c r="E44" s="12" t="str">
        <f>HVAC!F46</f>
        <v/>
      </c>
      <c r="F44" s="12" t="str">
        <f>IF(ISNUMBER($D44)=TRUE,HVAC!G46,"")</f>
        <v/>
      </c>
      <c r="G44" s="12" t="str">
        <f>IF(ISNUMBER($D44)=TRUE,HVAC!O46,"")</f>
        <v/>
      </c>
      <c r="H44" s="139" t="str">
        <f>IF(ISNUMBER($D44)=TRUE,HVAC!P46,"")</f>
        <v/>
      </c>
      <c r="I44" s="44" t="str">
        <f>IFERROR(N44*MIN(Table_Measure_Caps[[#Totals],[Estimated Raw Incentive Total]], Table_Measure_Caps[[#Totals],[Gross Measure Cost Total]], Value_Project_CAP)/Table_Measure_Caps[[#Totals],[Estimated Raw Incentive Total]], "")</f>
        <v/>
      </c>
      <c r="J44" s="44" t="str">
        <f>IF(ISNUMBER($D44)=TRUE,HVAC!K46,"")</f>
        <v/>
      </c>
      <c r="K44" s="12" t="str">
        <f>IF(ISNUMBER($D44)=TRUE,HVAC!L46,"")</f>
        <v/>
      </c>
      <c r="L44" s="29" t="str">
        <f t="shared" si="1"/>
        <v>Version 3.1</v>
      </c>
      <c r="M44" s="99" t="str">
        <f>IF(ISNUMBER($D44)=TRUE,HVAC!E46,"")</f>
        <v/>
      </c>
      <c r="N44" s="41" t="str">
        <f>HVAC!N46</f>
        <v/>
      </c>
    </row>
    <row r="45" spans="1:14" x14ac:dyDescent="0.2">
      <c r="A45" s="13" t="s">
        <v>222</v>
      </c>
      <c r="B45" s="12">
        <f t="shared" si="0"/>
        <v>0</v>
      </c>
      <c r="C45" s="12">
        <f>HVAC!B47</f>
        <v>43</v>
      </c>
      <c r="D45" s="12" t="str">
        <f>HVAC!C47</f>
        <v/>
      </c>
      <c r="E45" s="12" t="str">
        <f>HVAC!F47</f>
        <v/>
      </c>
      <c r="F45" s="12" t="str">
        <f>IF(ISNUMBER($D45)=TRUE,HVAC!G47,"")</f>
        <v/>
      </c>
      <c r="G45" s="12" t="str">
        <f>IF(ISNUMBER($D45)=TRUE,HVAC!O47,"")</f>
        <v/>
      </c>
      <c r="H45" s="139" t="str">
        <f>IF(ISNUMBER($D45)=TRUE,HVAC!P47,"")</f>
        <v/>
      </c>
      <c r="I45" s="44" t="str">
        <f>IFERROR(N45*MIN(Table_Measure_Caps[[#Totals],[Estimated Raw Incentive Total]], Table_Measure_Caps[[#Totals],[Gross Measure Cost Total]], Value_Project_CAP)/Table_Measure_Caps[[#Totals],[Estimated Raw Incentive Total]], "")</f>
        <v/>
      </c>
      <c r="J45" s="44" t="str">
        <f>IF(ISNUMBER($D45)=TRUE,HVAC!K47,"")</f>
        <v/>
      </c>
      <c r="K45" s="12" t="str">
        <f>IF(ISNUMBER($D45)=TRUE,HVAC!L47,"")</f>
        <v/>
      </c>
      <c r="L45" s="29" t="str">
        <f t="shared" si="1"/>
        <v>Version 3.1</v>
      </c>
      <c r="M45" s="99" t="str">
        <f>IF(ISNUMBER($D45)=TRUE,HVAC!E47,"")</f>
        <v/>
      </c>
      <c r="N45" s="41" t="str">
        <f>HVAC!N47</f>
        <v/>
      </c>
    </row>
    <row r="46" spans="1:14" x14ac:dyDescent="0.2">
      <c r="A46" s="13" t="s">
        <v>222</v>
      </c>
      <c r="B46" s="12">
        <f t="shared" si="0"/>
        <v>0</v>
      </c>
      <c r="C46" s="12">
        <f>HVAC!B48</f>
        <v>44</v>
      </c>
      <c r="D46" s="12" t="str">
        <f>HVAC!C48</f>
        <v/>
      </c>
      <c r="E46" s="12" t="str">
        <f>HVAC!F48</f>
        <v/>
      </c>
      <c r="F46" s="12" t="str">
        <f>IF(ISNUMBER($D46)=TRUE,HVAC!G48,"")</f>
        <v/>
      </c>
      <c r="G46" s="12" t="str">
        <f>IF(ISNUMBER($D46)=TRUE,HVAC!O48,"")</f>
        <v/>
      </c>
      <c r="H46" s="139" t="str">
        <f>IF(ISNUMBER($D46)=TRUE,HVAC!P48,"")</f>
        <v/>
      </c>
      <c r="I46" s="44" t="str">
        <f>IFERROR(N46*MIN(Table_Measure_Caps[[#Totals],[Estimated Raw Incentive Total]], Table_Measure_Caps[[#Totals],[Gross Measure Cost Total]], Value_Project_CAP)/Table_Measure_Caps[[#Totals],[Estimated Raw Incentive Total]], "")</f>
        <v/>
      </c>
      <c r="J46" s="44" t="str">
        <f>IF(ISNUMBER($D46)=TRUE,HVAC!K48,"")</f>
        <v/>
      </c>
      <c r="K46" s="12" t="str">
        <f>IF(ISNUMBER($D46)=TRUE,HVAC!L48,"")</f>
        <v/>
      </c>
      <c r="L46" s="29" t="str">
        <f t="shared" si="1"/>
        <v>Version 3.1</v>
      </c>
      <c r="M46" s="99" t="str">
        <f>IF(ISNUMBER($D46)=TRUE,HVAC!E48,"")</f>
        <v/>
      </c>
      <c r="N46" s="41" t="str">
        <f>HVAC!N48</f>
        <v/>
      </c>
    </row>
    <row r="47" spans="1:14" x14ac:dyDescent="0.2">
      <c r="A47" s="13" t="s">
        <v>222</v>
      </c>
      <c r="B47" s="12">
        <f t="shared" si="0"/>
        <v>0</v>
      </c>
      <c r="C47" s="12">
        <f>HVAC!B49</f>
        <v>45</v>
      </c>
      <c r="D47" s="12" t="str">
        <f>HVAC!C49</f>
        <v/>
      </c>
      <c r="E47" s="12" t="str">
        <f>HVAC!F49</f>
        <v/>
      </c>
      <c r="F47" s="12" t="str">
        <f>IF(ISNUMBER($D47)=TRUE,HVAC!G49,"")</f>
        <v/>
      </c>
      <c r="G47" s="12" t="str">
        <f>IF(ISNUMBER($D47)=TRUE,HVAC!O49,"")</f>
        <v/>
      </c>
      <c r="H47" s="139" t="str">
        <f>IF(ISNUMBER($D47)=TRUE,HVAC!P49,"")</f>
        <v/>
      </c>
      <c r="I47" s="44" t="str">
        <f>IFERROR(N47*MIN(Table_Measure_Caps[[#Totals],[Estimated Raw Incentive Total]], Table_Measure_Caps[[#Totals],[Gross Measure Cost Total]], Value_Project_CAP)/Table_Measure_Caps[[#Totals],[Estimated Raw Incentive Total]], "")</f>
        <v/>
      </c>
      <c r="J47" s="44" t="str">
        <f>IF(ISNUMBER($D47)=TRUE,HVAC!K49,"")</f>
        <v/>
      </c>
      <c r="K47" s="12" t="str">
        <f>IF(ISNUMBER($D47)=TRUE,HVAC!L49,"")</f>
        <v/>
      </c>
      <c r="L47" s="29" t="str">
        <f t="shared" si="1"/>
        <v>Version 3.1</v>
      </c>
      <c r="M47" s="99" t="str">
        <f>IF(ISNUMBER($D47)=TRUE,HVAC!E49,"")</f>
        <v/>
      </c>
      <c r="N47" s="41" t="str">
        <f>HVAC!N49</f>
        <v/>
      </c>
    </row>
    <row r="48" spans="1:14" x14ac:dyDescent="0.2">
      <c r="A48" s="13" t="s">
        <v>222</v>
      </c>
      <c r="B48" s="12">
        <f t="shared" si="0"/>
        <v>0</v>
      </c>
      <c r="C48" s="12">
        <f>HVAC!B50</f>
        <v>46</v>
      </c>
      <c r="D48" s="12" t="str">
        <f>HVAC!C50</f>
        <v/>
      </c>
      <c r="E48" s="12" t="str">
        <f>HVAC!F50</f>
        <v/>
      </c>
      <c r="F48" s="12" t="str">
        <f>IF(ISNUMBER($D48)=TRUE,HVAC!G50,"")</f>
        <v/>
      </c>
      <c r="G48" s="12" t="str">
        <f>IF(ISNUMBER($D48)=TRUE,HVAC!O50,"")</f>
        <v/>
      </c>
      <c r="H48" s="139" t="str">
        <f>IF(ISNUMBER($D48)=TRUE,HVAC!P50,"")</f>
        <v/>
      </c>
      <c r="I48" s="44" t="str">
        <f>IFERROR(N48*MIN(Table_Measure_Caps[[#Totals],[Estimated Raw Incentive Total]], Table_Measure_Caps[[#Totals],[Gross Measure Cost Total]], Value_Project_CAP)/Table_Measure_Caps[[#Totals],[Estimated Raw Incentive Total]], "")</f>
        <v/>
      </c>
      <c r="J48" s="44" t="str">
        <f>IF(ISNUMBER($D48)=TRUE,HVAC!K50,"")</f>
        <v/>
      </c>
      <c r="K48" s="12" t="str">
        <f>IF(ISNUMBER($D48)=TRUE,HVAC!L50,"")</f>
        <v/>
      </c>
      <c r="L48" s="29" t="str">
        <f t="shared" si="1"/>
        <v>Version 3.1</v>
      </c>
      <c r="M48" s="99" t="str">
        <f>IF(ISNUMBER($D48)=TRUE,HVAC!E50,"")</f>
        <v/>
      </c>
      <c r="N48" s="41" t="str">
        <f>HVAC!N50</f>
        <v/>
      </c>
    </row>
    <row r="49" spans="1:14" x14ac:dyDescent="0.2">
      <c r="A49" s="13" t="s">
        <v>222</v>
      </c>
      <c r="B49" s="12">
        <f t="shared" si="0"/>
        <v>0</v>
      </c>
      <c r="C49" s="12">
        <f>HVAC!B51</f>
        <v>47</v>
      </c>
      <c r="D49" s="12" t="str">
        <f>HVAC!C51</f>
        <v/>
      </c>
      <c r="E49" s="12" t="str">
        <f>HVAC!F51</f>
        <v/>
      </c>
      <c r="F49" s="12" t="str">
        <f>IF(ISNUMBER($D49)=TRUE,HVAC!G51,"")</f>
        <v/>
      </c>
      <c r="G49" s="12" t="str">
        <f>IF(ISNUMBER($D49)=TRUE,HVAC!O51,"")</f>
        <v/>
      </c>
      <c r="H49" s="139" t="str">
        <f>IF(ISNUMBER($D49)=TRUE,HVAC!P51,"")</f>
        <v/>
      </c>
      <c r="I49" s="44" t="str">
        <f>IFERROR(N49*MIN(Table_Measure_Caps[[#Totals],[Estimated Raw Incentive Total]], Table_Measure_Caps[[#Totals],[Gross Measure Cost Total]], Value_Project_CAP)/Table_Measure_Caps[[#Totals],[Estimated Raw Incentive Total]], "")</f>
        <v/>
      </c>
      <c r="J49" s="44" t="str">
        <f>IF(ISNUMBER($D49)=TRUE,HVAC!K51,"")</f>
        <v/>
      </c>
      <c r="K49" s="12" t="str">
        <f>IF(ISNUMBER($D49)=TRUE,HVAC!L51,"")</f>
        <v/>
      </c>
      <c r="L49" s="29" t="str">
        <f t="shared" si="1"/>
        <v>Version 3.1</v>
      </c>
      <c r="M49" s="99" t="str">
        <f>IF(ISNUMBER($D49)=TRUE,HVAC!E51,"")</f>
        <v/>
      </c>
      <c r="N49" s="41" t="str">
        <f>HVAC!N51</f>
        <v/>
      </c>
    </row>
    <row r="50" spans="1:14" x14ac:dyDescent="0.2">
      <c r="A50" s="13" t="s">
        <v>222</v>
      </c>
      <c r="B50" s="12">
        <f t="shared" si="0"/>
        <v>0</v>
      </c>
      <c r="C50" s="12">
        <f>HVAC!B52</f>
        <v>48</v>
      </c>
      <c r="D50" s="12" t="str">
        <f>HVAC!C52</f>
        <v/>
      </c>
      <c r="E50" s="12" t="str">
        <f>HVAC!F52</f>
        <v/>
      </c>
      <c r="F50" s="12" t="str">
        <f>IF(ISNUMBER($D50)=TRUE,HVAC!G52,"")</f>
        <v/>
      </c>
      <c r="G50" s="12" t="str">
        <f>IF(ISNUMBER($D50)=TRUE,HVAC!O52,"")</f>
        <v/>
      </c>
      <c r="H50" s="139" t="str">
        <f>IF(ISNUMBER($D50)=TRUE,HVAC!P52,"")</f>
        <v/>
      </c>
      <c r="I50" s="44" t="str">
        <f>IFERROR(N50*MIN(Table_Measure_Caps[[#Totals],[Estimated Raw Incentive Total]], Table_Measure_Caps[[#Totals],[Gross Measure Cost Total]], Value_Project_CAP)/Table_Measure_Caps[[#Totals],[Estimated Raw Incentive Total]], "")</f>
        <v/>
      </c>
      <c r="J50" s="44" t="str">
        <f>IF(ISNUMBER($D50)=TRUE,HVAC!K52,"")</f>
        <v/>
      </c>
      <c r="K50" s="12" t="str">
        <f>IF(ISNUMBER($D50)=TRUE,HVAC!L52,"")</f>
        <v/>
      </c>
      <c r="L50" s="29" t="str">
        <f t="shared" si="1"/>
        <v>Version 3.1</v>
      </c>
      <c r="M50" s="99" t="str">
        <f>IF(ISNUMBER($D50)=TRUE,HVAC!E52,"")</f>
        <v/>
      </c>
      <c r="N50" s="41" t="str">
        <f>HVAC!N52</f>
        <v/>
      </c>
    </row>
    <row r="51" spans="1:14" x14ac:dyDescent="0.2">
      <c r="A51" s="13" t="s">
        <v>222</v>
      </c>
      <c r="B51" s="12">
        <f t="shared" si="0"/>
        <v>0</v>
      </c>
      <c r="C51" s="12">
        <f>HVAC!B53</f>
        <v>49</v>
      </c>
      <c r="D51" s="12" t="str">
        <f>HVAC!C53</f>
        <v/>
      </c>
      <c r="E51" s="12" t="str">
        <f>HVAC!F53</f>
        <v/>
      </c>
      <c r="F51" s="12" t="str">
        <f>IF(ISNUMBER($D51)=TRUE,HVAC!G53,"")</f>
        <v/>
      </c>
      <c r="G51" s="12" t="str">
        <f>IF(ISNUMBER($D51)=TRUE,HVAC!O53,"")</f>
        <v/>
      </c>
      <c r="H51" s="139" t="str">
        <f>IF(ISNUMBER($D51)=TRUE,HVAC!P53,"")</f>
        <v/>
      </c>
      <c r="I51" s="44" t="str">
        <f>IFERROR(N51*MIN(Table_Measure_Caps[[#Totals],[Estimated Raw Incentive Total]], Table_Measure_Caps[[#Totals],[Gross Measure Cost Total]], Value_Project_CAP)/Table_Measure_Caps[[#Totals],[Estimated Raw Incentive Total]], "")</f>
        <v/>
      </c>
      <c r="J51" s="44" t="str">
        <f>IF(ISNUMBER($D51)=TRUE,HVAC!K53,"")</f>
        <v/>
      </c>
      <c r="K51" s="12" t="str">
        <f>IF(ISNUMBER($D51)=TRUE,HVAC!L53,"")</f>
        <v/>
      </c>
      <c r="L51" s="29" t="str">
        <f t="shared" si="1"/>
        <v>Version 3.1</v>
      </c>
      <c r="M51" s="99" t="str">
        <f>IF(ISNUMBER($D51)=TRUE,HVAC!E53,"")</f>
        <v/>
      </c>
      <c r="N51" s="41" t="str">
        <f>HVAC!N53</f>
        <v/>
      </c>
    </row>
    <row r="52" spans="1:14" x14ac:dyDescent="0.2">
      <c r="A52" s="13" t="s">
        <v>222</v>
      </c>
      <c r="B52" s="12">
        <f t="shared" si="0"/>
        <v>0</v>
      </c>
      <c r="C52" s="12">
        <f>HVAC!B54</f>
        <v>50</v>
      </c>
      <c r="D52" s="12" t="str">
        <f>HVAC!C54</f>
        <v/>
      </c>
      <c r="E52" s="12" t="str">
        <f>HVAC!F54</f>
        <v/>
      </c>
      <c r="F52" s="12" t="str">
        <f>IF(ISNUMBER($D52)=TRUE,HVAC!G54,"")</f>
        <v/>
      </c>
      <c r="G52" s="12" t="str">
        <f>IF(ISNUMBER($D52)=TRUE,HVAC!O54,"")</f>
        <v/>
      </c>
      <c r="H52" s="139" t="str">
        <f>IF(ISNUMBER($D52)=TRUE,HVAC!P54,"")</f>
        <v/>
      </c>
      <c r="I52" s="44" t="str">
        <f>IFERROR(N52*MIN(Table_Measure_Caps[[#Totals],[Estimated Raw Incentive Total]], Table_Measure_Caps[[#Totals],[Gross Measure Cost Total]], Value_Project_CAP)/Table_Measure_Caps[[#Totals],[Estimated Raw Incentive Total]], "")</f>
        <v/>
      </c>
      <c r="J52" s="44" t="str">
        <f>IF(ISNUMBER($D52)=TRUE,HVAC!K54,"")</f>
        <v/>
      </c>
      <c r="K52" s="12" t="str">
        <f>IF(ISNUMBER($D52)=TRUE,HVAC!L54,"")</f>
        <v/>
      </c>
      <c r="L52" s="29" t="str">
        <f t="shared" si="1"/>
        <v>Version 3.1</v>
      </c>
      <c r="M52" s="99" t="str">
        <f>IF(ISNUMBER($D52)=TRUE,HVAC!E54,"")</f>
        <v/>
      </c>
      <c r="N52" s="41" t="str">
        <f>HVAC!N54</f>
        <v/>
      </c>
    </row>
    <row r="53" spans="1:14" x14ac:dyDescent="0.2">
      <c r="A53" s="32" t="s">
        <v>344</v>
      </c>
      <c r="B53" s="30">
        <f t="shared" si="0"/>
        <v>0</v>
      </c>
      <c r="C53" s="30">
        <f>Refrigeration!B6</f>
        <v>1</v>
      </c>
      <c r="D53" s="30" t="str">
        <f>Refrigeration!C6</f>
        <v/>
      </c>
      <c r="E53" s="30" t="str">
        <f>Refrigeration!F6</f>
        <v/>
      </c>
      <c r="F53" s="31">
        <f>Refrigeration!G6</f>
        <v>0</v>
      </c>
      <c r="G53" s="31" t="str">
        <f>Refrigeration!L6</f>
        <v/>
      </c>
      <c r="H53" s="140" t="str">
        <f>Refrigeration!M6</f>
        <v/>
      </c>
      <c r="I53" s="45" t="str">
        <f>IFERROR(N53*MIN(Table_Measure_Caps[[#Totals],[Estimated Raw Incentive Total]], Table_Measure_Caps[[#Totals],[Gross Measure Cost Total]], Value_Project_CAP)/Table_Measure_Caps[[#Totals],[Estimated Raw Incentive Total]], "")</f>
        <v/>
      </c>
      <c r="J53" s="45">
        <f>Refrigeration!H6</f>
        <v>0</v>
      </c>
      <c r="K53" s="30">
        <f>Refrigeration!I6</f>
        <v>0</v>
      </c>
      <c r="L53" s="29" t="str">
        <f t="shared" si="1"/>
        <v>Version 3.1</v>
      </c>
      <c r="M53" s="106">
        <f>Refrigeration!E6</f>
        <v>0</v>
      </c>
      <c r="N53" s="105" t="str">
        <f>Refrigeration!K6</f>
        <v/>
      </c>
    </row>
    <row r="54" spans="1:14" x14ac:dyDescent="0.2">
      <c r="A54" s="32" t="s">
        <v>344</v>
      </c>
      <c r="B54" s="30">
        <f t="shared" ref="B54:B102" si="2">Input_ProjectNumber</f>
        <v>0</v>
      </c>
      <c r="C54" s="30">
        <f>Refrigeration!B7</f>
        <v>2</v>
      </c>
      <c r="D54" s="30" t="str">
        <f>Refrigeration!C7</f>
        <v/>
      </c>
      <c r="E54" s="30" t="str">
        <f>Refrigeration!F7</f>
        <v/>
      </c>
      <c r="F54" s="31">
        <f>Refrigeration!G7</f>
        <v>0</v>
      </c>
      <c r="G54" s="31" t="str">
        <f>Refrigeration!L7</f>
        <v/>
      </c>
      <c r="H54" s="140" t="str">
        <f>Refrigeration!M7</f>
        <v/>
      </c>
      <c r="I54" s="45" t="str">
        <f>IFERROR(N54*MIN(Table_Measure_Caps[[#Totals],[Estimated Raw Incentive Total]], Table_Measure_Caps[[#Totals],[Gross Measure Cost Total]], Value_Project_CAP)/Table_Measure_Caps[[#Totals],[Estimated Raw Incentive Total]], "")</f>
        <v/>
      </c>
      <c r="J54" s="45">
        <f>Refrigeration!H7</f>
        <v>0</v>
      </c>
      <c r="K54" s="30">
        <f>Refrigeration!I7</f>
        <v>0</v>
      </c>
      <c r="L54" s="29" t="str">
        <f t="shared" si="1"/>
        <v>Version 3.1</v>
      </c>
      <c r="M54" s="106">
        <f>Refrigeration!E7</f>
        <v>0</v>
      </c>
      <c r="N54" s="105" t="str">
        <f>Refrigeration!K7</f>
        <v/>
      </c>
    </row>
    <row r="55" spans="1:14" x14ac:dyDescent="0.2">
      <c r="A55" s="32" t="s">
        <v>344</v>
      </c>
      <c r="B55" s="30">
        <f t="shared" si="2"/>
        <v>0</v>
      </c>
      <c r="C55" s="30">
        <f>Refrigeration!B8</f>
        <v>3</v>
      </c>
      <c r="D55" s="30" t="str">
        <f>Refrigeration!C8</f>
        <v/>
      </c>
      <c r="E55" s="30" t="str">
        <f>Refrigeration!F8</f>
        <v/>
      </c>
      <c r="F55" s="31">
        <f>Refrigeration!G8</f>
        <v>0</v>
      </c>
      <c r="G55" s="31" t="str">
        <f>Refrigeration!L8</f>
        <v/>
      </c>
      <c r="H55" s="140" t="str">
        <f>Refrigeration!M8</f>
        <v/>
      </c>
      <c r="I55" s="45" t="str">
        <f>IFERROR(N55*MIN(Table_Measure_Caps[[#Totals],[Estimated Raw Incentive Total]], Table_Measure_Caps[[#Totals],[Gross Measure Cost Total]], Value_Project_CAP)/Table_Measure_Caps[[#Totals],[Estimated Raw Incentive Total]], "")</f>
        <v/>
      </c>
      <c r="J55" s="45">
        <f>Refrigeration!H8</f>
        <v>0</v>
      </c>
      <c r="K55" s="30">
        <f>Refrigeration!I8</f>
        <v>0</v>
      </c>
      <c r="L55" s="29" t="str">
        <f t="shared" si="1"/>
        <v>Version 3.1</v>
      </c>
      <c r="M55" s="106">
        <f>Refrigeration!E8</f>
        <v>0</v>
      </c>
      <c r="N55" s="105" t="str">
        <f>Refrigeration!K8</f>
        <v/>
      </c>
    </row>
    <row r="56" spans="1:14" x14ac:dyDescent="0.2">
      <c r="A56" s="32" t="s">
        <v>344</v>
      </c>
      <c r="B56" s="30">
        <f t="shared" si="2"/>
        <v>0</v>
      </c>
      <c r="C56" s="30">
        <f>Refrigeration!B9</f>
        <v>4</v>
      </c>
      <c r="D56" s="30" t="str">
        <f>Refrigeration!C9</f>
        <v/>
      </c>
      <c r="E56" s="30" t="str">
        <f>Refrigeration!F9</f>
        <v/>
      </c>
      <c r="F56" s="31">
        <f>Refrigeration!G9</f>
        <v>0</v>
      </c>
      <c r="G56" s="31" t="str">
        <f>Refrigeration!L9</f>
        <v/>
      </c>
      <c r="H56" s="140" t="str">
        <f>Refrigeration!M9</f>
        <v/>
      </c>
      <c r="I56" s="45" t="str">
        <f>IFERROR(N56*MIN(Table_Measure_Caps[[#Totals],[Estimated Raw Incentive Total]], Table_Measure_Caps[[#Totals],[Gross Measure Cost Total]], Value_Project_CAP)/Table_Measure_Caps[[#Totals],[Estimated Raw Incentive Total]], "")</f>
        <v/>
      </c>
      <c r="J56" s="45">
        <f>Refrigeration!H9</f>
        <v>0</v>
      </c>
      <c r="K56" s="30">
        <f>Refrigeration!I9</f>
        <v>0</v>
      </c>
      <c r="L56" s="29" t="str">
        <f t="shared" si="1"/>
        <v>Version 3.1</v>
      </c>
      <c r="M56" s="106">
        <f>Refrigeration!E9</f>
        <v>0</v>
      </c>
      <c r="N56" s="105" t="str">
        <f>Refrigeration!K9</f>
        <v/>
      </c>
    </row>
    <row r="57" spans="1:14" x14ac:dyDescent="0.2">
      <c r="A57" s="32" t="s">
        <v>344</v>
      </c>
      <c r="B57" s="30">
        <f t="shared" si="2"/>
        <v>0</v>
      </c>
      <c r="C57" s="30">
        <f>Refrigeration!B10</f>
        <v>5</v>
      </c>
      <c r="D57" s="30" t="str">
        <f>Refrigeration!C10</f>
        <v/>
      </c>
      <c r="E57" s="30" t="str">
        <f>Refrigeration!F10</f>
        <v/>
      </c>
      <c r="F57" s="31">
        <f>Refrigeration!G10</f>
        <v>0</v>
      </c>
      <c r="G57" s="31" t="str">
        <f>Refrigeration!L10</f>
        <v/>
      </c>
      <c r="H57" s="140" t="str">
        <f>Refrigeration!M10</f>
        <v/>
      </c>
      <c r="I57" s="45" t="str">
        <f>IFERROR(N57*MIN(Table_Measure_Caps[[#Totals],[Estimated Raw Incentive Total]], Table_Measure_Caps[[#Totals],[Gross Measure Cost Total]], Value_Project_CAP)/Table_Measure_Caps[[#Totals],[Estimated Raw Incentive Total]], "")</f>
        <v/>
      </c>
      <c r="J57" s="45">
        <f>Refrigeration!H10</f>
        <v>0</v>
      </c>
      <c r="K57" s="30">
        <f>Refrigeration!I10</f>
        <v>0</v>
      </c>
      <c r="L57" s="29" t="str">
        <f t="shared" si="1"/>
        <v>Version 3.1</v>
      </c>
      <c r="M57" s="106">
        <f>Refrigeration!E10</f>
        <v>0</v>
      </c>
      <c r="N57" s="105" t="str">
        <f>Refrigeration!K10</f>
        <v/>
      </c>
    </row>
    <row r="58" spans="1:14" x14ac:dyDescent="0.2">
      <c r="A58" s="32" t="s">
        <v>344</v>
      </c>
      <c r="B58" s="30">
        <f t="shared" si="2"/>
        <v>0</v>
      </c>
      <c r="C58" s="30">
        <f>Refrigeration!B11</f>
        <v>6</v>
      </c>
      <c r="D58" s="30" t="str">
        <f>Refrigeration!C11</f>
        <v/>
      </c>
      <c r="E58" s="30" t="str">
        <f>Refrigeration!F11</f>
        <v/>
      </c>
      <c r="F58" s="31">
        <f>Refrigeration!G11</f>
        <v>0</v>
      </c>
      <c r="G58" s="31" t="str">
        <f>Refrigeration!L11</f>
        <v/>
      </c>
      <c r="H58" s="140" t="str">
        <f>Refrigeration!M11</f>
        <v/>
      </c>
      <c r="I58" s="45" t="str">
        <f>IFERROR(N58*MIN(Table_Measure_Caps[[#Totals],[Estimated Raw Incentive Total]], Table_Measure_Caps[[#Totals],[Gross Measure Cost Total]], Value_Project_CAP)/Table_Measure_Caps[[#Totals],[Estimated Raw Incentive Total]], "")</f>
        <v/>
      </c>
      <c r="J58" s="45">
        <f>Refrigeration!H11</f>
        <v>0</v>
      </c>
      <c r="K58" s="30">
        <f>Refrigeration!I11</f>
        <v>0</v>
      </c>
      <c r="L58" s="29" t="str">
        <f t="shared" si="1"/>
        <v>Version 3.1</v>
      </c>
      <c r="M58" s="106">
        <f>Refrigeration!E11</f>
        <v>0</v>
      </c>
      <c r="N58" s="105" t="str">
        <f>Refrigeration!K11</f>
        <v/>
      </c>
    </row>
    <row r="59" spans="1:14" x14ac:dyDescent="0.2">
      <c r="A59" s="32" t="s">
        <v>344</v>
      </c>
      <c r="B59" s="30">
        <f t="shared" si="2"/>
        <v>0</v>
      </c>
      <c r="C59" s="30">
        <f>Refrigeration!B12</f>
        <v>7</v>
      </c>
      <c r="D59" s="30" t="str">
        <f>Refrigeration!C12</f>
        <v/>
      </c>
      <c r="E59" s="30" t="str">
        <f>Refrigeration!F12</f>
        <v/>
      </c>
      <c r="F59" s="31">
        <f>Refrigeration!G12</f>
        <v>0</v>
      </c>
      <c r="G59" s="31" t="str">
        <f>Refrigeration!L12</f>
        <v/>
      </c>
      <c r="H59" s="140" t="str">
        <f>Refrigeration!M12</f>
        <v/>
      </c>
      <c r="I59" s="45" t="str">
        <f>IFERROR(N59*MIN(Table_Measure_Caps[[#Totals],[Estimated Raw Incentive Total]], Table_Measure_Caps[[#Totals],[Gross Measure Cost Total]], Value_Project_CAP)/Table_Measure_Caps[[#Totals],[Estimated Raw Incentive Total]], "")</f>
        <v/>
      </c>
      <c r="J59" s="45">
        <f>Refrigeration!H12</f>
        <v>0</v>
      </c>
      <c r="K59" s="30">
        <f>Refrigeration!I12</f>
        <v>0</v>
      </c>
      <c r="L59" s="29" t="str">
        <f t="shared" si="1"/>
        <v>Version 3.1</v>
      </c>
      <c r="M59" s="106">
        <f>Refrigeration!E12</f>
        <v>0</v>
      </c>
      <c r="N59" s="105" t="str">
        <f>Refrigeration!K12</f>
        <v/>
      </c>
    </row>
    <row r="60" spans="1:14" x14ac:dyDescent="0.2">
      <c r="A60" s="32" t="s">
        <v>344</v>
      </c>
      <c r="B60" s="30">
        <f t="shared" si="2"/>
        <v>0</v>
      </c>
      <c r="C60" s="30">
        <f>Refrigeration!B13</f>
        <v>8</v>
      </c>
      <c r="D60" s="30" t="str">
        <f>Refrigeration!C13</f>
        <v/>
      </c>
      <c r="E60" s="30" t="str">
        <f>Refrigeration!F13</f>
        <v/>
      </c>
      <c r="F60" s="31">
        <f>Refrigeration!G13</f>
        <v>0</v>
      </c>
      <c r="G60" s="31" t="str">
        <f>Refrigeration!L13</f>
        <v/>
      </c>
      <c r="H60" s="140" t="str">
        <f>Refrigeration!M13</f>
        <v/>
      </c>
      <c r="I60" s="45" t="str">
        <f>IFERROR(N60*MIN(Table_Measure_Caps[[#Totals],[Estimated Raw Incentive Total]], Table_Measure_Caps[[#Totals],[Gross Measure Cost Total]], Value_Project_CAP)/Table_Measure_Caps[[#Totals],[Estimated Raw Incentive Total]], "")</f>
        <v/>
      </c>
      <c r="J60" s="45">
        <f>Refrigeration!H13</f>
        <v>0</v>
      </c>
      <c r="K60" s="30">
        <f>Refrigeration!I13</f>
        <v>0</v>
      </c>
      <c r="L60" s="29" t="str">
        <f t="shared" si="1"/>
        <v>Version 3.1</v>
      </c>
      <c r="M60" s="106">
        <f>Refrigeration!E13</f>
        <v>0</v>
      </c>
      <c r="N60" s="105" t="str">
        <f>Refrigeration!K13</f>
        <v/>
      </c>
    </row>
    <row r="61" spans="1:14" x14ac:dyDescent="0.2">
      <c r="A61" s="32" t="s">
        <v>344</v>
      </c>
      <c r="B61" s="30">
        <f t="shared" si="2"/>
        <v>0</v>
      </c>
      <c r="C61" s="30">
        <f>Refrigeration!B14</f>
        <v>9</v>
      </c>
      <c r="D61" s="30" t="str">
        <f>Refrigeration!C14</f>
        <v/>
      </c>
      <c r="E61" s="30" t="str">
        <f>Refrigeration!F14</f>
        <v/>
      </c>
      <c r="F61" s="31">
        <f>Refrigeration!G14</f>
        <v>0</v>
      </c>
      <c r="G61" s="31" t="str">
        <f>Refrigeration!L14</f>
        <v/>
      </c>
      <c r="H61" s="140" t="str">
        <f>Refrigeration!M14</f>
        <v/>
      </c>
      <c r="I61" s="45" t="str">
        <f>IFERROR(N61*MIN(Table_Measure_Caps[[#Totals],[Estimated Raw Incentive Total]], Table_Measure_Caps[[#Totals],[Gross Measure Cost Total]], Value_Project_CAP)/Table_Measure_Caps[[#Totals],[Estimated Raw Incentive Total]], "")</f>
        <v/>
      </c>
      <c r="J61" s="45">
        <f>Refrigeration!H14</f>
        <v>0</v>
      </c>
      <c r="K61" s="30">
        <f>Refrigeration!I14</f>
        <v>0</v>
      </c>
      <c r="L61" s="29" t="str">
        <f t="shared" si="1"/>
        <v>Version 3.1</v>
      </c>
      <c r="M61" s="106">
        <f>Refrigeration!E14</f>
        <v>0</v>
      </c>
      <c r="N61" s="105" t="str">
        <f>Refrigeration!K14</f>
        <v/>
      </c>
    </row>
    <row r="62" spans="1:14" x14ac:dyDescent="0.2">
      <c r="A62" s="32" t="s">
        <v>344</v>
      </c>
      <c r="B62" s="30">
        <f t="shared" si="2"/>
        <v>0</v>
      </c>
      <c r="C62" s="30">
        <f>Refrigeration!B15</f>
        <v>10</v>
      </c>
      <c r="D62" s="30" t="str">
        <f>Refrigeration!C15</f>
        <v/>
      </c>
      <c r="E62" s="30" t="str">
        <f>Refrigeration!F15</f>
        <v/>
      </c>
      <c r="F62" s="31">
        <f>Refrigeration!G15</f>
        <v>0</v>
      </c>
      <c r="G62" s="31" t="str">
        <f>Refrigeration!L15</f>
        <v/>
      </c>
      <c r="H62" s="140" t="str">
        <f>Refrigeration!M15</f>
        <v/>
      </c>
      <c r="I62" s="45" t="str">
        <f>IFERROR(N62*MIN(Table_Measure_Caps[[#Totals],[Estimated Raw Incentive Total]], Table_Measure_Caps[[#Totals],[Gross Measure Cost Total]], Value_Project_CAP)/Table_Measure_Caps[[#Totals],[Estimated Raw Incentive Total]], "")</f>
        <v/>
      </c>
      <c r="J62" s="45">
        <f>Refrigeration!H15</f>
        <v>0</v>
      </c>
      <c r="K62" s="30">
        <f>Refrigeration!I15</f>
        <v>0</v>
      </c>
      <c r="L62" s="29" t="str">
        <f t="shared" si="1"/>
        <v>Version 3.1</v>
      </c>
      <c r="M62" s="106">
        <f>Refrigeration!E15</f>
        <v>0</v>
      </c>
      <c r="N62" s="105" t="str">
        <f>Refrigeration!K15</f>
        <v/>
      </c>
    </row>
    <row r="63" spans="1:14" x14ac:dyDescent="0.2">
      <c r="A63" s="32" t="s">
        <v>344</v>
      </c>
      <c r="B63" s="30">
        <f t="shared" si="2"/>
        <v>0</v>
      </c>
      <c r="C63" s="30">
        <f>Refrigeration!B16</f>
        <v>11</v>
      </c>
      <c r="D63" s="30" t="str">
        <f>Refrigeration!C16</f>
        <v/>
      </c>
      <c r="E63" s="30" t="str">
        <f>Refrigeration!F16</f>
        <v/>
      </c>
      <c r="F63" s="31">
        <f>Refrigeration!G16</f>
        <v>0</v>
      </c>
      <c r="G63" s="31" t="str">
        <f>Refrigeration!L16</f>
        <v/>
      </c>
      <c r="H63" s="140" t="str">
        <f>Refrigeration!M16</f>
        <v/>
      </c>
      <c r="I63" s="45" t="str">
        <f>IFERROR(N63*MIN(Table_Measure_Caps[[#Totals],[Estimated Raw Incentive Total]], Table_Measure_Caps[[#Totals],[Gross Measure Cost Total]], Value_Project_CAP)/Table_Measure_Caps[[#Totals],[Estimated Raw Incentive Total]], "")</f>
        <v/>
      </c>
      <c r="J63" s="45">
        <f>Refrigeration!H16</f>
        <v>0</v>
      </c>
      <c r="K63" s="30">
        <f>Refrigeration!I16</f>
        <v>0</v>
      </c>
      <c r="L63" s="29" t="str">
        <f t="shared" si="1"/>
        <v>Version 3.1</v>
      </c>
      <c r="M63" s="106">
        <f>Refrigeration!E16</f>
        <v>0</v>
      </c>
      <c r="N63" s="105" t="str">
        <f>Refrigeration!K16</f>
        <v/>
      </c>
    </row>
    <row r="64" spans="1:14" x14ac:dyDescent="0.2">
      <c r="A64" s="32" t="s">
        <v>344</v>
      </c>
      <c r="B64" s="30">
        <f t="shared" si="2"/>
        <v>0</v>
      </c>
      <c r="C64" s="30">
        <f>Refrigeration!B17</f>
        <v>12</v>
      </c>
      <c r="D64" s="30" t="str">
        <f>Refrigeration!C17</f>
        <v/>
      </c>
      <c r="E64" s="30" t="str">
        <f>Refrigeration!F17</f>
        <v/>
      </c>
      <c r="F64" s="31">
        <f>Refrigeration!G17</f>
        <v>0</v>
      </c>
      <c r="G64" s="31" t="str">
        <f>Refrigeration!L17</f>
        <v/>
      </c>
      <c r="H64" s="140" t="str">
        <f>Refrigeration!M17</f>
        <v/>
      </c>
      <c r="I64" s="45" t="str">
        <f>IFERROR(N64*MIN(Table_Measure_Caps[[#Totals],[Estimated Raw Incentive Total]], Table_Measure_Caps[[#Totals],[Gross Measure Cost Total]], Value_Project_CAP)/Table_Measure_Caps[[#Totals],[Estimated Raw Incentive Total]], "")</f>
        <v/>
      </c>
      <c r="J64" s="45">
        <f>Refrigeration!H17</f>
        <v>0</v>
      </c>
      <c r="K64" s="30">
        <f>Refrigeration!I17</f>
        <v>0</v>
      </c>
      <c r="L64" s="29" t="str">
        <f t="shared" si="1"/>
        <v>Version 3.1</v>
      </c>
      <c r="M64" s="106">
        <f>Refrigeration!E17</f>
        <v>0</v>
      </c>
      <c r="N64" s="105" t="str">
        <f>Refrigeration!K17</f>
        <v/>
      </c>
    </row>
    <row r="65" spans="1:14" x14ac:dyDescent="0.2">
      <c r="A65" s="32" t="s">
        <v>344</v>
      </c>
      <c r="B65" s="30">
        <f t="shared" si="2"/>
        <v>0</v>
      </c>
      <c r="C65" s="30">
        <f>Refrigeration!B18</f>
        <v>13</v>
      </c>
      <c r="D65" s="30" t="str">
        <f>Refrigeration!C18</f>
        <v/>
      </c>
      <c r="E65" s="30" t="str">
        <f>Refrigeration!F18</f>
        <v/>
      </c>
      <c r="F65" s="31">
        <f>Refrigeration!G18</f>
        <v>0</v>
      </c>
      <c r="G65" s="31" t="str">
        <f>Refrigeration!L18</f>
        <v/>
      </c>
      <c r="H65" s="140" t="str">
        <f>Refrigeration!M18</f>
        <v/>
      </c>
      <c r="I65" s="45" t="str">
        <f>IFERROR(N65*MIN(Table_Measure_Caps[[#Totals],[Estimated Raw Incentive Total]], Table_Measure_Caps[[#Totals],[Gross Measure Cost Total]], Value_Project_CAP)/Table_Measure_Caps[[#Totals],[Estimated Raw Incentive Total]], "")</f>
        <v/>
      </c>
      <c r="J65" s="45">
        <f>Refrigeration!H18</f>
        <v>0</v>
      </c>
      <c r="K65" s="30">
        <f>Refrigeration!I18</f>
        <v>0</v>
      </c>
      <c r="L65" s="29" t="str">
        <f t="shared" si="1"/>
        <v>Version 3.1</v>
      </c>
      <c r="M65" s="106">
        <f>Refrigeration!E18</f>
        <v>0</v>
      </c>
      <c r="N65" s="105" t="str">
        <f>Refrigeration!K18</f>
        <v/>
      </c>
    </row>
    <row r="66" spans="1:14" x14ac:dyDescent="0.2">
      <c r="A66" s="32" t="s">
        <v>344</v>
      </c>
      <c r="B66" s="30">
        <f t="shared" si="2"/>
        <v>0</v>
      </c>
      <c r="C66" s="30">
        <f>Refrigeration!B19</f>
        <v>14</v>
      </c>
      <c r="D66" s="30" t="str">
        <f>Refrigeration!C19</f>
        <v/>
      </c>
      <c r="E66" s="30" t="str">
        <f>Refrigeration!F19</f>
        <v/>
      </c>
      <c r="F66" s="31">
        <f>Refrigeration!G19</f>
        <v>0</v>
      </c>
      <c r="G66" s="31" t="str">
        <f>Refrigeration!L19</f>
        <v/>
      </c>
      <c r="H66" s="140" t="str">
        <f>Refrigeration!M19</f>
        <v/>
      </c>
      <c r="I66" s="45" t="str">
        <f>IFERROR(N66*MIN(Table_Measure_Caps[[#Totals],[Estimated Raw Incentive Total]], Table_Measure_Caps[[#Totals],[Gross Measure Cost Total]], Value_Project_CAP)/Table_Measure_Caps[[#Totals],[Estimated Raw Incentive Total]], "")</f>
        <v/>
      </c>
      <c r="J66" s="45">
        <f>Refrigeration!H19</f>
        <v>0</v>
      </c>
      <c r="K66" s="30">
        <f>Refrigeration!I19</f>
        <v>0</v>
      </c>
      <c r="L66" s="29" t="str">
        <f t="shared" ref="L66:L129" si="3">Value_Application_Version</f>
        <v>Version 3.1</v>
      </c>
      <c r="M66" s="106">
        <f>Refrigeration!E19</f>
        <v>0</v>
      </c>
      <c r="N66" s="105" t="str">
        <f>Refrigeration!K19</f>
        <v/>
      </c>
    </row>
    <row r="67" spans="1:14" x14ac:dyDescent="0.2">
      <c r="A67" s="32" t="s">
        <v>344</v>
      </c>
      <c r="B67" s="30">
        <f t="shared" si="2"/>
        <v>0</v>
      </c>
      <c r="C67" s="30">
        <f>Refrigeration!B20</f>
        <v>15</v>
      </c>
      <c r="D67" s="30" t="str">
        <f>Refrigeration!C20</f>
        <v/>
      </c>
      <c r="E67" s="30" t="str">
        <f>Refrigeration!F20</f>
        <v/>
      </c>
      <c r="F67" s="31">
        <f>Refrigeration!G20</f>
        <v>0</v>
      </c>
      <c r="G67" s="31" t="str">
        <f>Refrigeration!L20</f>
        <v/>
      </c>
      <c r="H67" s="140" t="str">
        <f>Refrigeration!M20</f>
        <v/>
      </c>
      <c r="I67" s="45" t="str">
        <f>IFERROR(N67*MIN(Table_Measure_Caps[[#Totals],[Estimated Raw Incentive Total]], Table_Measure_Caps[[#Totals],[Gross Measure Cost Total]], Value_Project_CAP)/Table_Measure_Caps[[#Totals],[Estimated Raw Incentive Total]], "")</f>
        <v/>
      </c>
      <c r="J67" s="45">
        <f>Refrigeration!H20</f>
        <v>0</v>
      </c>
      <c r="K67" s="30">
        <f>Refrigeration!I20</f>
        <v>0</v>
      </c>
      <c r="L67" s="29" t="str">
        <f t="shared" si="3"/>
        <v>Version 3.1</v>
      </c>
      <c r="M67" s="106">
        <f>Refrigeration!E20</f>
        <v>0</v>
      </c>
      <c r="N67" s="105" t="str">
        <f>Refrigeration!K20</f>
        <v/>
      </c>
    </row>
    <row r="68" spans="1:14" x14ac:dyDescent="0.2">
      <c r="A68" s="32" t="s">
        <v>344</v>
      </c>
      <c r="B68" s="30">
        <f t="shared" si="2"/>
        <v>0</v>
      </c>
      <c r="C68" s="30">
        <f>Refrigeration!B21</f>
        <v>16</v>
      </c>
      <c r="D68" s="30" t="str">
        <f>Refrigeration!C21</f>
        <v/>
      </c>
      <c r="E68" s="30" t="str">
        <f>Refrigeration!F21</f>
        <v/>
      </c>
      <c r="F68" s="31">
        <f>Refrigeration!G21</f>
        <v>0</v>
      </c>
      <c r="G68" s="31" t="str">
        <f>Refrigeration!L21</f>
        <v/>
      </c>
      <c r="H68" s="140" t="str">
        <f>Refrigeration!M21</f>
        <v/>
      </c>
      <c r="I68" s="45" t="str">
        <f>IFERROR(N68*MIN(Table_Measure_Caps[[#Totals],[Estimated Raw Incentive Total]], Table_Measure_Caps[[#Totals],[Gross Measure Cost Total]], Value_Project_CAP)/Table_Measure_Caps[[#Totals],[Estimated Raw Incentive Total]], "")</f>
        <v/>
      </c>
      <c r="J68" s="45">
        <f>Refrigeration!H21</f>
        <v>0</v>
      </c>
      <c r="K68" s="30">
        <f>Refrigeration!I21</f>
        <v>0</v>
      </c>
      <c r="L68" s="29" t="str">
        <f t="shared" si="3"/>
        <v>Version 3.1</v>
      </c>
      <c r="M68" s="106">
        <f>Refrigeration!E21</f>
        <v>0</v>
      </c>
      <c r="N68" s="105" t="str">
        <f>Refrigeration!K21</f>
        <v/>
      </c>
    </row>
    <row r="69" spans="1:14" x14ac:dyDescent="0.2">
      <c r="A69" s="32" t="s">
        <v>344</v>
      </c>
      <c r="B69" s="30">
        <f t="shared" si="2"/>
        <v>0</v>
      </c>
      <c r="C69" s="30">
        <f>Refrigeration!B22</f>
        <v>17</v>
      </c>
      <c r="D69" s="30" t="str">
        <f>Refrigeration!C22</f>
        <v/>
      </c>
      <c r="E69" s="30" t="str">
        <f>Refrigeration!F22</f>
        <v/>
      </c>
      <c r="F69" s="31">
        <f>Refrigeration!G22</f>
        <v>0</v>
      </c>
      <c r="G69" s="31" t="str">
        <f>Refrigeration!L22</f>
        <v/>
      </c>
      <c r="H69" s="140" t="str">
        <f>Refrigeration!M22</f>
        <v/>
      </c>
      <c r="I69" s="45" t="str">
        <f>IFERROR(N69*MIN(Table_Measure_Caps[[#Totals],[Estimated Raw Incentive Total]], Table_Measure_Caps[[#Totals],[Gross Measure Cost Total]], Value_Project_CAP)/Table_Measure_Caps[[#Totals],[Estimated Raw Incentive Total]], "")</f>
        <v/>
      </c>
      <c r="J69" s="45">
        <f>Refrigeration!H22</f>
        <v>0</v>
      </c>
      <c r="K69" s="30">
        <f>Refrigeration!I22</f>
        <v>0</v>
      </c>
      <c r="L69" s="29" t="str">
        <f t="shared" si="3"/>
        <v>Version 3.1</v>
      </c>
      <c r="M69" s="106">
        <f>Refrigeration!E22</f>
        <v>0</v>
      </c>
      <c r="N69" s="105" t="str">
        <f>Refrigeration!K22</f>
        <v/>
      </c>
    </row>
    <row r="70" spans="1:14" x14ac:dyDescent="0.2">
      <c r="A70" s="32" t="s">
        <v>344</v>
      </c>
      <c r="B70" s="30">
        <f t="shared" si="2"/>
        <v>0</v>
      </c>
      <c r="C70" s="30">
        <f>Refrigeration!B23</f>
        <v>18</v>
      </c>
      <c r="D70" s="30" t="str">
        <f>Refrigeration!C23</f>
        <v/>
      </c>
      <c r="E70" s="30" t="str">
        <f>Refrigeration!F23</f>
        <v/>
      </c>
      <c r="F70" s="31">
        <f>Refrigeration!G23</f>
        <v>0</v>
      </c>
      <c r="G70" s="31" t="str">
        <f>Refrigeration!L23</f>
        <v/>
      </c>
      <c r="H70" s="140" t="str">
        <f>Refrigeration!M23</f>
        <v/>
      </c>
      <c r="I70" s="45" t="str">
        <f>IFERROR(N70*MIN(Table_Measure_Caps[[#Totals],[Estimated Raw Incentive Total]], Table_Measure_Caps[[#Totals],[Gross Measure Cost Total]], Value_Project_CAP)/Table_Measure_Caps[[#Totals],[Estimated Raw Incentive Total]], "")</f>
        <v/>
      </c>
      <c r="J70" s="45">
        <f>Refrigeration!H23</f>
        <v>0</v>
      </c>
      <c r="K70" s="30">
        <f>Refrigeration!I23</f>
        <v>0</v>
      </c>
      <c r="L70" s="29" t="str">
        <f t="shared" si="3"/>
        <v>Version 3.1</v>
      </c>
      <c r="M70" s="106">
        <f>Refrigeration!E23</f>
        <v>0</v>
      </c>
      <c r="N70" s="105" t="str">
        <f>Refrigeration!K23</f>
        <v/>
      </c>
    </row>
    <row r="71" spans="1:14" x14ac:dyDescent="0.2">
      <c r="A71" s="32" t="s">
        <v>344</v>
      </c>
      <c r="B71" s="30">
        <f t="shared" si="2"/>
        <v>0</v>
      </c>
      <c r="C71" s="30">
        <f>Refrigeration!B24</f>
        <v>19</v>
      </c>
      <c r="D71" s="30" t="str">
        <f>Refrigeration!C24</f>
        <v/>
      </c>
      <c r="E71" s="30" t="str">
        <f>Refrigeration!F24</f>
        <v/>
      </c>
      <c r="F71" s="31">
        <f>Refrigeration!G24</f>
        <v>0</v>
      </c>
      <c r="G71" s="31" t="str">
        <f>Refrigeration!L24</f>
        <v/>
      </c>
      <c r="H71" s="140" t="str">
        <f>Refrigeration!M24</f>
        <v/>
      </c>
      <c r="I71" s="45" t="str">
        <f>IFERROR(N71*MIN(Table_Measure_Caps[[#Totals],[Estimated Raw Incentive Total]], Table_Measure_Caps[[#Totals],[Gross Measure Cost Total]], Value_Project_CAP)/Table_Measure_Caps[[#Totals],[Estimated Raw Incentive Total]], "")</f>
        <v/>
      </c>
      <c r="J71" s="45">
        <f>Refrigeration!H24</f>
        <v>0</v>
      </c>
      <c r="K71" s="30">
        <f>Refrigeration!I24</f>
        <v>0</v>
      </c>
      <c r="L71" s="29" t="str">
        <f t="shared" si="3"/>
        <v>Version 3.1</v>
      </c>
      <c r="M71" s="106">
        <f>Refrigeration!E24</f>
        <v>0</v>
      </c>
      <c r="N71" s="105" t="str">
        <f>Refrigeration!K24</f>
        <v/>
      </c>
    </row>
    <row r="72" spans="1:14" x14ac:dyDescent="0.2">
      <c r="A72" s="32" t="s">
        <v>344</v>
      </c>
      <c r="B72" s="30">
        <f t="shared" si="2"/>
        <v>0</v>
      </c>
      <c r="C72" s="30">
        <f>Refrigeration!B25</f>
        <v>20</v>
      </c>
      <c r="D72" s="30" t="str">
        <f>Refrigeration!C25</f>
        <v/>
      </c>
      <c r="E72" s="30" t="str">
        <f>Refrigeration!F25</f>
        <v/>
      </c>
      <c r="F72" s="31">
        <f>Refrigeration!G25</f>
        <v>0</v>
      </c>
      <c r="G72" s="31" t="str">
        <f>Refrigeration!L25</f>
        <v/>
      </c>
      <c r="H72" s="140" t="str">
        <f>Refrigeration!M25</f>
        <v/>
      </c>
      <c r="I72" s="45" t="str">
        <f>IFERROR(N72*MIN(Table_Measure_Caps[[#Totals],[Estimated Raw Incentive Total]], Table_Measure_Caps[[#Totals],[Gross Measure Cost Total]], Value_Project_CAP)/Table_Measure_Caps[[#Totals],[Estimated Raw Incentive Total]], "")</f>
        <v/>
      </c>
      <c r="J72" s="45">
        <f>Refrigeration!H25</f>
        <v>0</v>
      </c>
      <c r="K72" s="30">
        <f>Refrigeration!I25</f>
        <v>0</v>
      </c>
      <c r="L72" s="29" t="str">
        <f t="shared" si="3"/>
        <v>Version 3.1</v>
      </c>
      <c r="M72" s="106">
        <f>Refrigeration!E25</f>
        <v>0</v>
      </c>
      <c r="N72" s="105" t="str">
        <f>Refrigeration!K25</f>
        <v/>
      </c>
    </row>
    <row r="73" spans="1:14" x14ac:dyDescent="0.2">
      <c r="A73" s="32" t="s">
        <v>344</v>
      </c>
      <c r="B73" s="30">
        <f t="shared" si="2"/>
        <v>0</v>
      </c>
      <c r="C73" s="30">
        <f>Refrigeration!B26</f>
        <v>21</v>
      </c>
      <c r="D73" s="30" t="str">
        <f>Refrigeration!C26</f>
        <v/>
      </c>
      <c r="E73" s="30" t="str">
        <f>Refrigeration!F26</f>
        <v/>
      </c>
      <c r="F73" s="31">
        <f>Refrigeration!G26</f>
        <v>0</v>
      </c>
      <c r="G73" s="31" t="str">
        <f>Refrigeration!L26</f>
        <v/>
      </c>
      <c r="H73" s="140" t="str">
        <f>Refrigeration!M26</f>
        <v/>
      </c>
      <c r="I73" s="45" t="str">
        <f>IFERROR(N73*MIN(Table_Measure_Caps[[#Totals],[Estimated Raw Incentive Total]], Table_Measure_Caps[[#Totals],[Gross Measure Cost Total]], Value_Project_CAP)/Table_Measure_Caps[[#Totals],[Estimated Raw Incentive Total]], "")</f>
        <v/>
      </c>
      <c r="J73" s="45">
        <f>Refrigeration!H26</f>
        <v>0</v>
      </c>
      <c r="K73" s="30">
        <f>Refrigeration!I26</f>
        <v>0</v>
      </c>
      <c r="L73" s="29" t="str">
        <f t="shared" si="3"/>
        <v>Version 3.1</v>
      </c>
      <c r="M73" s="106">
        <f>Refrigeration!E26</f>
        <v>0</v>
      </c>
      <c r="N73" s="105" t="str">
        <f>Refrigeration!K26</f>
        <v/>
      </c>
    </row>
    <row r="74" spans="1:14" x14ac:dyDescent="0.2">
      <c r="A74" s="32" t="s">
        <v>344</v>
      </c>
      <c r="B74" s="30">
        <f t="shared" si="2"/>
        <v>0</v>
      </c>
      <c r="C74" s="30">
        <f>Refrigeration!B27</f>
        <v>22</v>
      </c>
      <c r="D74" s="30" t="str">
        <f>Refrigeration!C27</f>
        <v/>
      </c>
      <c r="E74" s="30" t="str">
        <f>Refrigeration!F27</f>
        <v/>
      </c>
      <c r="F74" s="31">
        <f>Refrigeration!G27</f>
        <v>0</v>
      </c>
      <c r="G74" s="31" t="str">
        <f>Refrigeration!L27</f>
        <v/>
      </c>
      <c r="H74" s="140" t="str">
        <f>Refrigeration!M27</f>
        <v/>
      </c>
      <c r="I74" s="45" t="str">
        <f>IFERROR(N74*MIN(Table_Measure_Caps[[#Totals],[Estimated Raw Incentive Total]], Table_Measure_Caps[[#Totals],[Gross Measure Cost Total]], Value_Project_CAP)/Table_Measure_Caps[[#Totals],[Estimated Raw Incentive Total]], "")</f>
        <v/>
      </c>
      <c r="J74" s="45">
        <f>Refrigeration!H27</f>
        <v>0</v>
      </c>
      <c r="K74" s="30">
        <f>Refrigeration!I27</f>
        <v>0</v>
      </c>
      <c r="L74" s="29" t="str">
        <f t="shared" si="3"/>
        <v>Version 3.1</v>
      </c>
      <c r="M74" s="106">
        <f>Refrigeration!E27</f>
        <v>0</v>
      </c>
      <c r="N74" s="105" t="str">
        <f>Refrigeration!K27</f>
        <v/>
      </c>
    </row>
    <row r="75" spans="1:14" x14ac:dyDescent="0.2">
      <c r="A75" s="32" t="s">
        <v>344</v>
      </c>
      <c r="B75" s="30">
        <f t="shared" si="2"/>
        <v>0</v>
      </c>
      <c r="C75" s="30">
        <f>Refrigeration!B28</f>
        <v>23</v>
      </c>
      <c r="D75" s="30" t="str">
        <f>Refrigeration!C28</f>
        <v/>
      </c>
      <c r="E75" s="30" t="str">
        <f>Refrigeration!F28</f>
        <v/>
      </c>
      <c r="F75" s="31">
        <f>Refrigeration!G28</f>
        <v>0</v>
      </c>
      <c r="G75" s="31" t="str">
        <f>Refrigeration!L28</f>
        <v/>
      </c>
      <c r="H75" s="140" t="str">
        <f>Refrigeration!M28</f>
        <v/>
      </c>
      <c r="I75" s="45" t="str">
        <f>IFERROR(N75*MIN(Table_Measure_Caps[[#Totals],[Estimated Raw Incentive Total]], Table_Measure_Caps[[#Totals],[Gross Measure Cost Total]], Value_Project_CAP)/Table_Measure_Caps[[#Totals],[Estimated Raw Incentive Total]], "")</f>
        <v/>
      </c>
      <c r="J75" s="45">
        <f>Refrigeration!H28</f>
        <v>0</v>
      </c>
      <c r="K75" s="30">
        <f>Refrigeration!I28</f>
        <v>0</v>
      </c>
      <c r="L75" s="29" t="str">
        <f t="shared" si="3"/>
        <v>Version 3.1</v>
      </c>
      <c r="M75" s="106">
        <f>Refrigeration!E28</f>
        <v>0</v>
      </c>
      <c r="N75" s="105" t="str">
        <f>Refrigeration!K28</f>
        <v/>
      </c>
    </row>
    <row r="76" spans="1:14" x14ac:dyDescent="0.2">
      <c r="A76" s="32" t="s">
        <v>344</v>
      </c>
      <c r="B76" s="30">
        <f t="shared" si="2"/>
        <v>0</v>
      </c>
      <c r="C76" s="30">
        <f>Refrigeration!B29</f>
        <v>24</v>
      </c>
      <c r="D76" s="30" t="str">
        <f>Refrigeration!C29</f>
        <v/>
      </c>
      <c r="E76" s="30" t="str">
        <f>Refrigeration!F29</f>
        <v/>
      </c>
      <c r="F76" s="31">
        <f>Refrigeration!G29</f>
        <v>0</v>
      </c>
      <c r="G76" s="31" t="str">
        <f>Refrigeration!L29</f>
        <v/>
      </c>
      <c r="H76" s="140" t="str">
        <f>Refrigeration!M29</f>
        <v/>
      </c>
      <c r="I76" s="45" t="str">
        <f>IFERROR(N76*MIN(Table_Measure_Caps[[#Totals],[Estimated Raw Incentive Total]], Table_Measure_Caps[[#Totals],[Gross Measure Cost Total]], Value_Project_CAP)/Table_Measure_Caps[[#Totals],[Estimated Raw Incentive Total]], "")</f>
        <v/>
      </c>
      <c r="J76" s="45">
        <f>Refrigeration!H29</f>
        <v>0</v>
      </c>
      <c r="K76" s="30">
        <f>Refrigeration!I29</f>
        <v>0</v>
      </c>
      <c r="L76" s="29" t="str">
        <f t="shared" si="3"/>
        <v>Version 3.1</v>
      </c>
      <c r="M76" s="106">
        <f>Refrigeration!E29</f>
        <v>0</v>
      </c>
      <c r="N76" s="105" t="str">
        <f>Refrigeration!K29</f>
        <v/>
      </c>
    </row>
    <row r="77" spans="1:14" x14ac:dyDescent="0.2">
      <c r="A77" s="32" t="s">
        <v>344</v>
      </c>
      <c r="B77" s="30">
        <f t="shared" si="2"/>
        <v>0</v>
      </c>
      <c r="C77" s="30">
        <f>Refrigeration!B30</f>
        <v>25</v>
      </c>
      <c r="D77" s="30" t="str">
        <f>Refrigeration!C30</f>
        <v/>
      </c>
      <c r="E77" s="30" t="str">
        <f>Refrigeration!F30</f>
        <v/>
      </c>
      <c r="F77" s="31">
        <f>Refrigeration!G30</f>
        <v>0</v>
      </c>
      <c r="G77" s="31" t="str">
        <f>Refrigeration!L30</f>
        <v/>
      </c>
      <c r="H77" s="140" t="str">
        <f>Refrigeration!M30</f>
        <v/>
      </c>
      <c r="I77" s="45" t="str">
        <f>IFERROR(N77*MIN(Table_Measure_Caps[[#Totals],[Estimated Raw Incentive Total]], Table_Measure_Caps[[#Totals],[Gross Measure Cost Total]], Value_Project_CAP)/Table_Measure_Caps[[#Totals],[Estimated Raw Incentive Total]], "")</f>
        <v/>
      </c>
      <c r="J77" s="45">
        <f>Refrigeration!H30</f>
        <v>0</v>
      </c>
      <c r="K77" s="30">
        <f>Refrigeration!I30</f>
        <v>0</v>
      </c>
      <c r="L77" s="29" t="str">
        <f t="shared" si="3"/>
        <v>Version 3.1</v>
      </c>
      <c r="M77" s="106">
        <f>Refrigeration!E30</f>
        <v>0</v>
      </c>
      <c r="N77" s="105" t="str">
        <f>Refrigeration!K30</f>
        <v/>
      </c>
    </row>
    <row r="78" spans="1:14" x14ac:dyDescent="0.2">
      <c r="A78" s="32" t="s">
        <v>344</v>
      </c>
      <c r="B78" s="30">
        <f t="shared" si="2"/>
        <v>0</v>
      </c>
      <c r="C78" s="30">
        <f>Refrigeration!B31</f>
        <v>26</v>
      </c>
      <c r="D78" s="30" t="str">
        <f>Refrigeration!C31</f>
        <v/>
      </c>
      <c r="E78" s="30" t="str">
        <f>Refrigeration!F31</f>
        <v/>
      </c>
      <c r="F78" s="31">
        <f>Refrigeration!G31</f>
        <v>0</v>
      </c>
      <c r="G78" s="31" t="str">
        <f>Refrigeration!L31</f>
        <v/>
      </c>
      <c r="H78" s="140" t="str">
        <f>Refrigeration!M31</f>
        <v/>
      </c>
      <c r="I78" s="45" t="str">
        <f>IFERROR(N78*MIN(Table_Measure_Caps[[#Totals],[Estimated Raw Incentive Total]], Table_Measure_Caps[[#Totals],[Gross Measure Cost Total]], Value_Project_CAP)/Table_Measure_Caps[[#Totals],[Estimated Raw Incentive Total]], "")</f>
        <v/>
      </c>
      <c r="J78" s="45">
        <f>Refrigeration!H31</f>
        <v>0</v>
      </c>
      <c r="K78" s="30">
        <f>Refrigeration!I31</f>
        <v>0</v>
      </c>
      <c r="L78" s="29" t="str">
        <f t="shared" si="3"/>
        <v>Version 3.1</v>
      </c>
      <c r="M78" s="106">
        <f>Refrigeration!E31</f>
        <v>0</v>
      </c>
      <c r="N78" s="105" t="str">
        <f>Refrigeration!K31</f>
        <v/>
      </c>
    </row>
    <row r="79" spans="1:14" x14ac:dyDescent="0.2">
      <c r="A79" s="32" t="s">
        <v>344</v>
      </c>
      <c r="B79" s="30">
        <f t="shared" si="2"/>
        <v>0</v>
      </c>
      <c r="C79" s="30">
        <f>Refrigeration!B32</f>
        <v>27</v>
      </c>
      <c r="D79" s="30" t="str">
        <f>Refrigeration!C32</f>
        <v/>
      </c>
      <c r="E79" s="30" t="str">
        <f>Refrigeration!F32</f>
        <v/>
      </c>
      <c r="F79" s="31">
        <f>Refrigeration!G32</f>
        <v>0</v>
      </c>
      <c r="G79" s="31" t="str">
        <f>Refrigeration!L32</f>
        <v/>
      </c>
      <c r="H79" s="140" t="str">
        <f>Refrigeration!M32</f>
        <v/>
      </c>
      <c r="I79" s="45" t="str">
        <f>IFERROR(N79*MIN(Table_Measure_Caps[[#Totals],[Estimated Raw Incentive Total]], Table_Measure_Caps[[#Totals],[Gross Measure Cost Total]], Value_Project_CAP)/Table_Measure_Caps[[#Totals],[Estimated Raw Incentive Total]], "")</f>
        <v/>
      </c>
      <c r="J79" s="45">
        <f>Refrigeration!H32</f>
        <v>0</v>
      </c>
      <c r="K79" s="30">
        <f>Refrigeration!I32</f>
        <v>0</v>
      </c>
      <c r="L79" s="29" t="str">
        <f t="shared" si="3"/>
        <v>Version 3.1</v>
      </c>
      <c r="M79" s="106">
        <f>Refrigeration!E32</f>
        <v>0</v>
      </c>
      <c r="N79" s="105" t="str">
        <f>Refrigeration!K32</f>
        <v/>
      </c>
    </row>
    <row r="80" spans="1:14" x14ac:dyDescent="0.2">
      <c r="A80" s="32" t="s">
        <v>344</v>
      </c>
      <c r="B80" s="30">
        <f t="shared" si="2"/>
        <v>0</v>
      </c>
      <c r="C80" s="30">
        <f>Refrigeration!B33</f>
        <v>28</v>
      </c>
      <c r="D80" s="30" t="str">
        <f>Refrigeration!C33</f>
        <v/>
      </c>
      <c r="E80" s="30" t="str">
        <f>Refrigeration!F33</f>
        <v/>
      </c>
      <c r="F80" s="31">
        <f>Refrigeration!G33</f>
        <v>0</v>
      </c>
      <c r="G80" s="31" t="str">
        <f>Refrigeration!L33</f>
        <v/>
      </c>
      <c r="H80" s="140" t="str">
        <f>Refrigeration!M33</f>
        <v/>
      </c>
      <c r="I80" s="45" t="str">
        <f>IFERROR(N80*MIN(Table_Measure_Caps[[#Totals],[Estimated Raw Incentive Total]], Table_Measure_Caps[[#Totals],[Gross Measure Cost Total]], Value_Project_CAP)/Table_Measure_Caps[[#Totals],[Estimated Raw Incentive Total]], "")</f>
        <v/>
      </c>
      <c r="J80" s="45">
        <f>Refrigeration!H33</f>
        <v>0</v>
      </c>
      <c r="K80" s="30">
        <f>Refrigeration!I33</f>
        <v>0</v>
      </c>
      <c r="L80" s="29" t="str">
        <f t="shared" si="3"/>
        <v>Version 3.1</v>
      </c>
      <c r="M80" s="106">
        <f>Refrigeration!E33</f>
        <v>0</v>
      </c>
      <c r="N80" s="105" t="str">
        <f>Refrigeration!K33</f>
        <v/>
      </c>
    </row>
    <row r="81" spans="1:14" x14ac:dyDescent="0.2">
      <c r="A81" s="32" t="s">
        <v>344</v>
      </c>
      <c r="B81" s="30">
        <f t="shared" si="2"/>
        <v>0</v>
      </c>
      <c r="C81" s="30">
        <f>Refrigeration!B34</f>
        <v>29</v>
      </c>
      <c r="D81" s="30" t="str">
        <f>Refrigeration!C34</f>
        <v/>
      </c>
      <c r="E81" s="30" t="str">
        <f>Refrigeration!F34</f>
        <v/>
      </c>
      <c r="F81" s="31">
        <f>Refrigeration!G34</f>
        <v>0</v>
      </c>
      <c r="G81" s="31" t="str">
        <f>Refrigeration!L34</f>
        <v/>
      </c>
      <c r="H81" s="140" t="str">
        <f>Refrigeration!M34</f>
        <v/>
      </c>
      <c r="I81" s="45" t="str">
        <f>IFERROR(N81*MIN(Table_Measure_Caps[[#Totals],[Estimated Raw Incentive Total]], Table_Measure_Caps[[#Totals],[Gross Measure Cost Total]], Value_Project_CAP)/Table_Measure_Caps[[#Totals],[Estimated Raw Incentive Total]], "")</f>
        <v/>
      </c>
      <c r="J81" s="45">
        <f>Refrigeration!H34</f>
        <v>0</v>
      </c>
      <c r="K81" s="30">
        <f>Refrigeration!I34</f>
        <v>0</v>
      </c>
      <c r="L81" s="29" t="str">
        <f t="shared" si="3"/>
        <v>Version 3.1</v>
      </c>
      <c r="M81" s="106">
        <f>Refrigeration!E34</f>
        <v>0</v>
      </c>
      <c r="N81" s="105" t="str">
        <f>Refrigeration!K34</f>
        <v/>
      </c>
    </row>
    <row r="82" spans="1:14" x14ac:dyDescent="0.2">
      <c r="A82" s="32" t="s">
        <v>344</v>
      </c>
      <c r="B82" s="30">
        <f t="shared" si="2"/>
        <v>0</v>
      </c>
      <c r="C82" s="30">
        <f>Refrigeration!B35</f>
        <v>30</v>
      </c>
      <c r="D82" s="30" t="str">
        <f>Refrigeration!C35</f>
        <v/>
      </c>
      <c r="E82" s="30" t="str">
        <f>Refrigeration!F35</f>
        <v/>
      </c>
      <c r="F82" s="31">
        <f>Refrigeration!G35</f>
        <v>0</v>
      </c>
      <c r="G82" s="31" t="str">
        <f>Refrigeration!L35</f>
        <v/>
      </c>
      <c r="H82" s="140" t="str">
        <f>Refrigeration!M35</f>
        <v/>
      </c>
      <c r="I82" s="45" t="str">
        <f>IFERROR(N82*MIN(Table_Measure_Caps[[#Totals],[Estimated Raw Incentive Total]], Table_Measure_Caps[[#Totals],[Gross Measure Cost Total]], Value_Project_CAP)/Table_Measure_Caps[[#Totals],[Estimated Raw Incentive Total]], "")</f>
        <v/>
      </c>
      <c r="J82" s="45">
        <f>Refrigeration!H35</f>
        <v>0</v>
      </c>
      <c r="K82" s="30">
        <f>Refrigeration!I35</f>
        <v>0</v>
      </c>
      <c r="L82" s="29" t="str">
        <f t="shared" si="3"/>
        <v>Version 3.1</v>
      </c>
      <c r="M82" s="106">
        <f>Refrigeration!E35</f>
        <v>0</v>
      </c>
      <c r="N82" s="105" t="str">
        <f>Refrigeration!K35</f>
        <v/>
      </c>
    </row>
    <row r="83" spans="1:14" x14ac:dyDescent="0.2">
      <c r="A83" s="32" t="s">
        <v>344</v>
      </c>
      <c r="B83" s="30">
        <f t="shared" si="2"/>
        <v>0</v>
      </c>
      <c r="C83" s="30">
        <f>Refrigeration!B36</f>
        <v>31</v>
      </c>
      <c r="D83" s="30" t="str">
        <f>Refrigeration!C36</f>
        <v/>
      </c>
      <c r="E83" s="30" t="str">
        <f>Refrigeration!F36</f>
        <v/>
      </c>
      <c r="F83" s="31">
        <f>Refrigeration!G36</f>
        <v>0</v>
      </c>
      <c r="G83" s="31" t="str">
        <f>Refrigeration!L36</f>
        <v/>
      </c>
      <c r="H83" s="140" t="str">
        <f>Refrigeration!M36</f>
        <v/>
      </c>
      <c r="I83" s="45" t="str">
        <f>IFERROR(N83*MIN(Table_Measure_Caps[[#Totals],[Estimated Raw Incentive Total]], Table_Measure_Caps[[#Totals],[Gross Measure Cost Total]], Value_Project_CAP)/Table_Measure_Caps[[#Totals],[Estimated Raw Incentive Total]], "")</f>
        <v/>
      </c>
      <c r="J83" s="45">
        <f>Refrigeration!H36</f>
        <v>0</v>
      </c>
      <c r="K83" s="30">
        <f>Refrigeration!I36</f>
        <v>0</v>
      </c>
      <c r="L83" s="29" t="str">
        <f t="shared" si="3"/>
        <v>Version 3.1</v>
      </c>
      <c r="M83" s="106">
        <f>Refrigeration!E36</f>
        <v>0</v>
      </c>
      <c r="N83" s="105" t="str">
        <f>Refrigeration!K36</f>
        <v/>
      </c>
    </row>
    <row r="84" spans="1:14" x14ac:dyDescent="0.2">
      <c r="A84" s="32" t="s">
        <v>344</v>
      </c>
      <c r="B84" s="30">
        <f t="shared" si="2"/>
        <v>0</v>
      </c>
      <c r="C84" s="30">
        <f>Refrigeration!B37</f>
        <v>32</v>
      </c>
      <c r="D84" s="30" t="str">
        <f>Refrigeration!C37</f>
        <v/>
      </c>
      <c r="E84" s="30" t="str">
        <f>Refrigeration!F37</f>
        <v/>
      </c>
      <c r="F84" s="31">
        <f>Refrigeration!G37</f>
        <v>0</v>
      </c>
      <c r="G84" s="31" t="str">
        <f>Refrigeration!L37</f>
        <v/>
      </c>
      <c r="H84" s="140" t="str">
        <f>Refrigeration!M37</f>
        <v/>
      </c>
      <c r="I84" s="45" t="str">
        <f>IFERROR(N84*MIN(Table_Measure_Caps[[#Totals],[Estimated Raw Incentive Total]], Table_Measure_Caps[[#Totals],[Gross Measure Cost Total]], Value_Project_CAP)/Table_Measure_Caps[[#Totals],[Estimated Raw Incentive Total]], "")</f>
        <v/>
      </c>
      <c r="J84" s="45">
        <f>Refrigeration!H37</f>
        <v>0</v>
      </c>
      <c r="K84" s="30">
        <f>Refrigeration!I37</f>
        <v>0</v>
      </c>
      <c r="L84" s="29" t="str">
        <f t="shared" si="3"/>
        <v>Version 3.1</v>
      </c>
      <c r="M84" s="106">
        <f>Refrigeration!E37</f>
        <v>0</v>
      </c>
      <c r="N84" s="105" t="str">
        <f>Refrigeration!K37</f>
        <v/>
      </c>
    </row>
    <row r="85" spans="1:14" x14ac:dyDescent="0.2">
      <c r="A85" s="32" t="s">
        <v>344</v>
      </c>
      <c r="B85" s="30">
        <f t="shared" si="2"/>
        <v>0</v>
      </c>
      <c r="C85" s="30">
        <f>Refrigeration!B38</f>
        <v>33</v>
      </c>
      <c r="D85" s="30" t="str">
        <f>Refrigeration!C38</f>
        <v/>
      </c>
      <c r="E85" s="30" t="str">
        <f>Refrigeration!F38</f>
        <v/>
      </c>
      <c r="F85" s="31">
        <f>Refrigeration!G38</f>
        <v>0</v>
      </c>
      <c r="G85" s="31" t="str">
        <f>Refrigeration!L38</f>
        <v/>
      </c>
      <c r="H85" s="140" t="str">
        <f>Refrigeration!M38</f>
        <v/>
      </c>
      <c r="I85" s="45" t="str">
        <f>IFERROR(N85*MIN(Table_Measure_Caps[[#Totals],[Estimated Raw Incentive Total]], Table_Measure_Caps[[#Totals],[Gross Measure Cost Total]], Value_Project_CAP)/Table_Measure_Caps[[#Totals],[Estimated Raw Incentive Total]], "")</f>
        <v/>
      </c>
      <c r="J85" s="45">
        <f>Refrigeration!H38</f>
        <v>0</v>
      </c>
      <c r="K85" s="30">
        <f>Refrigeration!I38</f>
        <v>0</v>
      </c>
      <c r="L85" s="29" t="str">
        <f t="shared" si="3"/>
        <v>Version 3.1</v>
      </c>
      <c r="M85" s="106">
        <f>Refrigeration!E38</f>
        <v>0</v>
      </c>
      <c r="N85" s="105" t="str">
        <f>Refrigeration!K38</f>
        <v/>
      </c>
    </row>
    <row r="86" spans="1:14" x14ac:dyDescent="0.2">
      <c r="A86" s="32" t="s">
        <v>344</v>
      </c>
      <c r="B86" s="30">
        <f t="shared" si="2"/>
        <v>0</v>
      </c>
      <c r="C86" s="30">
        <f>Refrigeration!B39</f>
        <v>34</v>
      </c>
      <c r="D86" s="30" t="str">
        <f>Refrigeration!C39</f>
        <v/>
      </c>
      <c r="E86" s="30" t="str">
        <f>Refrigeration!F39</f>
        <v/>
      </c>
      <c r="F86" s="31">
        <f>Refrigeration!G39</f>
        <v>0</v>
      </c>
      <c r="G86" s="31" t="str">
        <f>Refrigeration!L39</f>
        <v/>
      </c>
      <c r="H86" s="140" t="str">
        <f>Refrigeration!M39</f>
        <v/>
      </c>
      <c r="I86" s="45" t="str">
        <f>IFERROR(N86*MIN(Table_Measure_Caps[[#Totals],[Estimated Raw Incentive Total]], Table_Measure_Caps[[#Totals],[Gross Measure Cost Total]], Value_Project_CAP)/Table_Measure_Caps[[#Totals],[Estimated Raw Incentive Total]], "")</f>
        <v/>
      </c>
      <c r="J86" s="45">
        <f>Refrigeration!H39</f>
        <v>0</v>
      </c>
      <c r="K86" s="30">
        <f>Refrigeration!I39</f>
        <v>0</v>
      </c>
      <c r="L86" s="29" t="str">
        <f t="shared" si="3"/>
        <v>Version 3.1</v>
      </c>
      <c r="M86" s="106">
        <f>Refrigeration!E39</f>
        <v>0</v>
      </c>
      <c r="N86" s="105" t="str">
        <f>Refrigeration!K39</f>
        <v/>
      </c>
    </row>
    <row r="87" spans="1:14" x14ac:dyDescent="0.2">
      <c r="A87" s="32" t="s">
        <v>344</v>
      </c>
      <c r="B87" s="30">
        <f t="shared" si="2"/>
        <v>0</v>
      </c>
      <c r="C87" s="30">
        <f>Refrigeration!B40</f>
        <v>35</v>
      </c>
      <c r="D87" s="30" t="str">
        <f>Refrigeration!C40</f>
        <v/>
      </c>
      <c r="E87" s="30" t="str">
        <f>Refrigeration!F40</f>
        <v/>
      </c>
      <c r="F87" s="31">
        <f>Refrigeration!G40</f>
        <v>0</v>
      </c>
      <c r="G87" s="31" t="str">
        <f>Refrigeration!L40</f>
        <v/>
      </c>
      <c r="H87" s="140" t="str">
        <f>Refrigeration!M40</f>
        <v/>
      </c>
      <c r="I87" s="45" t="str">
        <f>IFERROR(N87*MIN(Table_Measure_Caps[[#Totals],[Estimated Raw Incentive Total]], Table_Measure_Caps[[#Totals],[Gross Measure Cost Total]], Value_Project_CAP)/Table_Measure_Caps[[#Totals],[Estimated Raw Incentive Total]], "")</f>
        <v/>
      </c>
      <c r="J87" s="45">
        <f>Refrigeration!H40</f>
        <v>0</v>
      </c>
      <c r="K87" s="30">
        <f>Refrigeration!I40</f>
        <v>0</v>
      </c>
      <c r="L87" s="29" t="str">
        <f t="shared" si="3"/>
        <v>Version 3.1</v>
      </c>
      <c r="M87" s="106">
        <f>Refrigeration!E40</f>
        <v>0</v>
      </c>
      <c r="N87" s="105" t="str">
        <f>Refrigeration!K40</f>
        <v/>
      </c>
    </row>
    <row r="88" spans="1:14" x14ac:dyDescent="0.2">
      <c r="A88" s="32" t="s">
        <v>344</v>
      </c>
      <c r="B88" s="30">
        <f t="shared" si="2"/>
        <v>0</v>
      </c>
      <c r="C88" s="30">
        <f>Refrigeration!B41</f>
        <v>36</v>
      </c>
      <c r="D88" s="30" t="str">
        <f>Refrigeration!C41</f>
        <v/>
      </c>
      <c r="E88" s="30" t="str">
        <f>Refrigeration!F41</f>
        <v/>
      </c>
      <c r="F88" s="31">
        <f>Refrigeration!G41</f>
        <v>0</v>
      </c>
      <c r="G88" s="31" t="str">
        <f>Refrigeration!L41</f>
        <v/>
      </c>
      <c r="H88" s="140" t="str">
        <f>Refrigeration!M41</f>
        <v/>
      </c>
      <c r="I88" s="45" t="str">
        <f>IFERROR(N88*MIN(Table_Measure_Caps[[#Totals],[Estimated Raw Incentive Total]], Table_Measure_Caps[[#Totals],[Gross Measure Cost Total]], Value_Project_CAP)/Table_Measure_Caps[[#Totals],[Estimated Raw Incentive Total]], "")</f>
        <v/>
      </c>
      <c r="J88" s="45">
        <f>Refrigeration!H41</f>
        <v>0</v>
      </c>
      <c r="K88" s="30">
        <f>Refrigeration!I41</f>
        <v>0</v>
      </c>
      <c r="L88" s="29" t="str">
        <f t="shared" si="3"/>
        <v>Version 3.1</v>
      </c>
      <c r="M88" s="106">
        <f>Refrigeration!E41</f>
        <v>0</v>
      </c>
      <c r="N88" s="105" t="str">
        <f>Refrigeration!K41</f>
        <v/>
      </c>
    </row>
    <row r="89" spans="1:14" x14ac:dyDescent="0.2">
      <c r="A89" s="32" t="s">
        <v>344</v>
      </c>
      <c r="B89" s="30">
        <f t="shared" si="2"/>
        <v>0</v>
      </c>
      <c r="C89" s="30">
        <f>Refrigeration!B42</f>
        <v>37</v>
      </c>
      <c r="D89" s="30" t="str">
        <f>Refrigeration!C42</f>
        <v/>
      </c>
      <c r="E89" s="30" t="str">
        <f>Refrigeration!F42</f>
        <v/>
      </c>
      <c r="F89" s="31">
        <f>Refrigeration!G42</f>
        <v>0</v>
      </c>
      <c r="G89" s="31" t="str">
        <f>Refrigeration!L42</f>
        <v/>
      </c>
      <c r="H89" s="140" t="str">
        <f>Refrigeration!M42</f>
        <v/>
      </c>
      <c r="I89" s="45" t="str">
        <f>IFERROR(N89*MIN(Table_Measure_Caps[[#Totals],[Estimated Raw Incentive Total]], Table_Measure_Caps[[#Totals],[Gross Measure Cost Total]], Value_Project_CAP)/Table_Measure_Caps[[#Totals],[Estimated Raw Incentive Total]], "")</f>
        <v/>
      </c>
      <c r="J89" s="45">
        <f>Refrigeration!H42</f>
        <v>0</v>
      </c>
      <c r="K89" s="30">
        <f>Refrigeration!I42</f>
        <v>0</v>
      </c>
      <c r="L89" s="29" t="str">
        <f t="shared" si="3"/>
        <v>Version 3.1</v>
      </c>
      <c r="M89" s="106">
        <f>Refrigeration!E42</f>
        <v>0</v>
      </c>
      <c r="N89" s="105" t="str">
        <f>Refrigeration!K42</f>
        <v/>
      </c>
    </row>
    <row r="90" spans="1:14" x14ac:dyDescent="0.2">
      <c r="A90" s="32" t="s">
        <v>344</v>
      </c>
      <c r="B90" s="30">
        <f t="shared" si="2"/>
        <v>0</v>
      </c>
      <c r="C90" s="30">
        <f>Refrigeration!B43</f>
        <v>38</v>
      </c>
      <c r="D90" s="30" t="str">
        <f>Refrigeration!C43</f>
        <v/>
      </c>
      <c r="E90" s="30" t="str">
        <f>Refrigeration!F43</f>
        <v/>
      </c>
      <c r="F90" s="31">
        <f>Refrigeration!G43</f>
        <v>0</v>
      </c>
      <c r="G90" s="31" t="str">
        <f>Refrigeration!L43</f>
        <v/>
      </c>
      <c r="H90" s="140" t="str">
        <f>Refrigeration!M43</f>
        <v/>
      </c>
      <c r="I90" s="45" t="str">
        <f>IFERROR(N90*MIN(Table_Measure_Caps[[#Totals],[Estimated Raw Incentive Total]], Table_Measure_Caps[[#Totals],[Gross Measure Cost Total]], Value_Project_CAP)/Table_Measure_Caps[[#Totals],[Estimated Raw Incentive Total]], "")</f>
        <v/>
      </c>
      <c r="J90" s="45">
        <f>Refrigeration!H43</f>
        <v>0</v>
      </c>
      <c r="K90" s="30">
        <f>Refrigeration!I43</f>
        <v>0</v>
      </c>
      <c r="L90" s="29" t="str">
        <f t="shared" si="3"/>
        <v>Version 3.1</v>
      </c>
      <c r="M90" s="106">
        <f>Refrigeration!E43</f>
        <v>0</v>
      </c>
      <c r="N90" s="105" t="str">
        <f>Refrigeration!K43</f>
        <v/>
      </c>
    </row>
    <row r="91" spans="1:14" x14ac:dyDescent="0.2">
      <c r="A91" s="32" t="s">
        <v>344</v>
      </c>
      <c r="B91" s="30">
        <f t="shared" si="2"/>
        <v>0</v>
      </c>
      <c r="C91" s="30">
        <f>Refrigeration!B44</f>
        <v>39</v>
      </c>
      <c r="D91" s="30" t="str">
        <f>Refrigeration!C44</f>
        <v/>
      </c>
      <c r="E91" s="30" t="str">
        <f>Refrigeration!F44</f>
        <v/>
      </c>
      <c r="F91" s="31">
        <f>Refrigeration!G44</f>
        <v>0</v>
      </c>
      <c r="G91" s="31" t="str">
        <f>Refrigeration!L44</f>
        <v/>
      </c>
      <c r="H91" s="140" t="str">
        <f>Refrigeration!M44</f>
        <v/>
      </c>
      <c r="I91" s="45" t="str">
        <f>IFERROR(N91*MIN(Table_Measure_Caps[[#Totals],[Estimated Raw Incentive Total]], Table_Measure_Caps[[#Totals],[Gross Measure Cost Total]], Value_Project_CAP)/Table_Measure_Caps[[#Totals],[Estimated Raw Incentive Total]], "")</f>
        <v/>
      </c>
      <c r="J91" s="45">
        <f>Refrigeration!H44</f>
        <v>0</v>
      </c>
      <c r="K91" s="30">
        <f>Refrigeration!I44</f>
        <v>0</v>
      </c>
      <c r="L91" s="29" t="str">
        <f t="shared" si="3"/>
        <v>Version 3.1</v>
      </c>
      <c r="M91" s="106">
        <f>Refrigeration!E44</f>
        <v>0</v>
      </c>
      <c r="N91" s="105" t="str">
        <f>Refrigeration!K44</f>
        <v/>
      </c>
    </row>
    <row r="92" spans="1:14" x14ac:dyDescent="0.2">
      <c r="A92" s="32" t="s">
        <v>344</v>
      </c>
      <c r="B92" s="30">
        <f t="shared" si="2"/>
        <v>0</v>
      </c>
      <c r="C92" s="30">
        <f>Refrigeration!B45</f>
        <v>40</v>
      </c>
      <c r="D92" s="30" t="str">
        <f>Refrigeration!C45</f>
        <v/>
      </c>
      <c r="E92" s="30" t="str">
        <f>Refrigeration!F45</f>
        <v/>
      </c>
      <c r="F92" s="31">
        <f>Refrigeration!G45</f>
        <v>0</v>
      </c>
      <c r="G92" s="31" t="str">
        <f>Refrigeration!L45</f>
        <v/>
      </c>
      <c r="H92" s="140" t="str">
        <f>Refrigeration!M45</f>
        <v/>
      </c>
      <c r="I92" s="45" t="str">
        <f>IFERROR(N92*MIN(Table_Measure_Caps[[#Totals],[Estimated Raw Incentive Total]], Table_Measure_Caps[[#Totals],[Gross Measure Cost Total]], Value_Project_CAP)/Table_Measure_Caps[[#Totals],[Estimated Raw Incentive Total]], "")</f>
        <v/>
      </c>
      <c r="J92" s="45">
        <f>Refrigeration!H45</f>
        <v>0</v>
      </c>
      <c r="K92" s="30">
        <f>Refrigeration!I45</f>
        <v>0</v>
      </c>
      <c r="L92" s="29" t="str">
        <f t="shared" si="3"/>
        <v>Version 3.1</v>
      </c>
      <c r="M92" s="106">
        <f>Refrigeration!E45</f>
        <v>0</v>
      </c>
      <c r="N92" s="105" t="str">
        <f>Refrigeration!K45</f>
        <v/>
      </c>
    </row>
    <row r="93" spans="1:14" x14ac:dyDescent="0.2">
      <c r="A93" s="32" t="s">
        <v>344</v>
      </c>
      <c r="B93" s="30">
        <f t="shared" si="2"/>
        <v>0</v>
      </c>
      <c r="C93" s="30">
        <f>Refrigeration!B46</f>
        <v>41</v>
      </c>
      <c r="D93" s="30" t="str">
        <f>Refrigeration!C46</f>
        <v/>
      </c>
      <c r="E93" s="30" t="str">
        <f>Refrigeration!F46</f>
        <v/>
      </c>
      <c r="F93" s="31">
        <f>Refrigeration!G46</f>
        <v>0</v>
      </c>
      <c r="G93" s="31" t="str">
        <f>Refrigeration!L46</f>
        <v/>
      </c>
      <c r="H93" s="140" t="str">
        <f>Refrigeration!M46</f>
        <v/>
      </c>
      <c r="I93" s="45" t="str">
        <f>IFERROR(N93*MIN(Table_Measure_Caps[[#Totals],[Estimated Raw Incentive Total]], Table_Measure_Caps[[#Totals],[Gross Measure Cost Total]], Value_Project_CAP)/Table_Measure_Caps[[#Totals],[Estimated Raw Incentive Total]], "")</f>
        <v/>
      </c>
      <c r="J93" s="45">
        <f>Refrigeration!H46</f>
        <v>0</v>
      </c>
      <c r="K93" s="30">
        <f>Refrigeration!I46</f>
        <v>0</v>
      </c>
      <c r="L93" s="29" t="str">
        <f t="shared" si="3"/>
        <v>Version 3.1</v>
      </c>
      <c r="M93" s="106">
        <f>Refrigeration!E46</f>
        <v>0</v>
      </c>
      <c r="N93" s="105" t="str">
        <f>Refrigeration!K46</f>
        <v/>
      </c>
    </row>
    <row r="94" spans="1:14" x14ac:dyDescent="0.2">
      <c r="A94" s="32" t="s">
        <v>344</v>
      </c>
      <c r="B94" s="30">
        <f t="shared" si="2"/>
        <v>0</v>
      </c>
      <c r="C94" s="30">
        <f>Refrigeration!B47</f>
        <v>42</v>
      </c>
      <c r="D94" s="30" t="str">
        <f>Refrigeration!C47</f>
        <v/>
      </c>
      <c r="E94" s="30" t="str">
        <f>Refrigeration!F47</f>
        <v/>
      </c>
      <c r="F94" s="31">
        <f>Refrigeration!G47</f>
        <v>0</v>
      </c>
      <c r="G94" s="31" t="str">
        <f>Refrigeration!L47</f>
        <v/>
      </c>
      <c r="H94" s="140" t="str">
        <f>Refrigeration!M47</f>
        <v/>
      </c>
      <c r="I94" s="45" t="str">
        <f>IFERROR(N94*MIN(Table_Measure_Caps[[#Totals],[Estimated Raw Incentive Total]], Table_Measure_Caps[[#Totals],[Gross Measure Cost Total]], Value_Project_CAP)/Table_Measure_Caps[[#Totals],[Estimated Raw Incentive Total]], "")</f>
        <v/>
      </c>
      <c r="J94" s="45">
        <f>Refrigeration!H47</f>
        <v>0</v>
      </c>
      <c r="K94" s="30">
        <f>Refrigeration!I47</f>
        <v>0</v>
      </c>
      <c r="L94" s="29" t="str">
        <f t="shared" si="3"/>
        <v>Version 3.1</v>
      </c>
      <c r="M94" s="106">
        <f>Refrigeration!E47</f>
        <v>0</v>
      </c>
      <c r="N94" s="105" t="str">
        <f>Refrigeration!K47</f>
        <v/>
      </c>
    </row>
    <row r="95" spans="1:14" x14ac:dyDescent="0.2">
      <c r="A95" s="32" t="s">
        <v>344</v>
      </c>
      <c r="B95" s="30">
        <f t="shared" si="2"/>
        <v>0</v>
      </c>
      <c r="C95" s="30">
        <f>Refrigeration!B48</f>
        <v>43</v>
      </c>
      <c r="D95" s="30" t="str">
        <f>Refrigeration!C48</f>
        <v/>
      </c>
      <c r="E95" s="30" t="str">
        <f>Refrigeration!F48</f>
        <v/>
      </c>
      <c r="F95" s="31">
        <f>Refrigeration!G48</f>
        <v>0</v>
      </c>
      <c r="G95" s="31" t="str">
        <f>Refrigeration!L48</f>
        <v/>
      </c>
      <c r="H95" s="140" t="str">
        <f>Refrigeration!M48</f>
        <v/>
      </c>
      <c r="I95" s="45" t="str">
        <f>IFERROR(N95*MIN(Table_Measure_Caps[[#Totals],[Estimated Raw Incentive Total]], Table_Measure_Caps[[#Totals],[Gross Measure Cost Total]], Value_Project_CAP)/Table_Measure_Caps[[#Totals],[Estimated Raw Incentive Total]], "")</f>
        <v/>
      </c>
      <c r="J95" s="45">
        <f>Refrigeration!H48</f>
        <v>0</v>
      </c>
      <c r="K95" s="30">
        <f>Refrigeration!I48</f>
        <v>0</v>
      </c>
      <c r="L95" s="29" t="str">
        <f t="shared" si="3"/>
        <v>Version 3.1</v>
      </c>
      <c r="M95" s="106">
        <f>Refrigeration!E48</f>
        <v>0</v>
      </c>
      <c r="N95" s="105" t="str">
        <f>Refrigeration!K48</f>
        <v/>
      </c>
    </row>
    <row r="96" spans="1:14" x14ac:dyDescent="0.2">
      <c r="A96" s="32" t="s">
        <v>344</v>
      </c>
      <c r="B96" s="30">
        <f t="shared" si="2"/>
        <v>0</v>
      </c>
      <c r="C96" s="30">
        <f>Refrigeration!B49</f>
        <v>44</v>
      </c>
      <c r="D96" s="30" t="str">
        <f>Refrigeration!C49</f>
        <v/>
      </c>
      <c r="E96" s="30" t="str">
        <f>Refrigeration!F49</f>
        <v/>
      </c>
      <c r="F96" s="31">
        <f>Refrigeration!G49</f>
        <v>0</v>
      </c>
      <c r="G96" s="31" t="str">
        <f>Refrigeration!L49</f>
        <v/>
      </c>
      <c r="H96" s="140" t="str">
        <f>Refrigeration!M49</f>
        <v/>
      </c>
      <c r="I96" s="45" t="str">
        <f>IFERROR(N96*MIN(Table_Measure_Caps[[#Totals],[Estimated Raw Incentive Total]], Table_Measure_Caps[[#Totals],[Gross Measure Cost Total]], Value_Project_CAP)/Table_Measure_Caps[[#Totals],[Estimated Raw Incentive Total]], "")</f>
        <v/>
      </c>
      <c r="J96" s="45">
        <f>Refrigeration!H49</f>
        <v>0</v>
      </c>
      <c r="K96" s="30">
        <f>Refrigeration!I49</f>
        <v>0</v>
      </c>
      <c r="L96" s="29" t="str">
        <f t="shared" si="3"/>
        <v>Version 3.1</v>
      </c>
      <c r="M96" s="106">
        <f>Refrigeration!E49</f>
        <v>0</v>
      </c>
      <c r="N96" s="105" t="str">
        <f>Refrigeration!K49</f>
        <v/>
      </c>
    </row>
    <row r="97" spans="1:14" x14ac:dyDescent="0.2">
      <c r="A97" s="32" t="s">
        <v>344</v>
      </c>
      <c r="B97" s="30">
        <f t="shared" si="2"/>
        <v>0</v>
      </c>
      <c r="C97" s="30">
        <f>Refrigeration!B50</f>
        <v>45</v>
      </c>
      <c r="D97" s="30" t="str">
        <f>Refrigeration!C50</f>
        <v/>
      </c>
      <c r="E97" s="30" t="str">
        <f>Refrigeration!F50</f>
        <v/>
      </c>
      <c r="F97" s="31">
        <f>Refrigeration!G50</f>
        <v>0</v>
      </c>
      <c r="G97" s="31" t="str">
        <f>Refrigeration!L50</f>
        <v/>
      </c>
      <c r="H97" s="140" t="str">
        <f>Refrigeration!M50</f>
        <v/>
      </c>
      <c r="I97" s="45" t="str">
        <f>IFERROR(N97*MIN(Table_Measure_Caps[[#Totals],[Estimated Raw Incentive Total]], Table_Measure_Caps[[#Totals],[Gross Measure Cost Total]], Value_Project_CAP)/Table_Measure_Caps[[#Totals],[Estimated Raw Incentive Total]], "")</f>
        <v/>
      </c>
      <c r="J97" s="45">
        <f>Refrigeration!H50</f>
        <v>0</v>
      </c>
      <c r="K97" s="30">
        <f>Refrigeration!I50</f>
        <v>0</v>
      </c>
      <c r="L97" s="29" t="str">
        <f t="shared" si="3"/>
        <v>Version 3.1</v>
      </c>
      <c r="M97" s="106">
        <f>Refrigeration!E50</f>
        <v>0</v>
      </c>
      <c r="N97" s="105" t="str">
        <f>Refrigeration!K50</f>
        <v/>
      </c>
    </row>
    <row r="98" spans="1:14" x14ac:dyDescent="0.2">
      <c r="A98" s="32" t="s">
        <v>344</v>
      </c>
      <c r="B98" s="30">
        <f t="shared" si="2"/>
        <v>0</v>
      </c>
      <c r="C98" s="30">
        <f>Refrigeration!B51</f>
        <v>46</v>
      </c>
      <c r="D98" s="30" t="str">
        <f>Refrigeration!C51</f>
        <v/>
      </c>
      <c r="E98" s="30" t="str">
        <f>Refrigeration!F51</f>
        <v/>
      </c>
      <c r="F98" s="31">
        <f>Refrigeration!G51</f>
        <v>0</v>
      </c>
      <c r="G98" s="31" t="str">
        <f>Refrigeration!L51</f>
        <v/>
      </c>
      <c r="H98" s="140" t="str">
        <f>Refrigeration!M51</f>
        <v/>
      </c>
      <c r="I98" s="45" t="str">
        <f>IFERROR(N98*MIN(Table_Measure_Caps[[#Totals],[Estimated Raw Incentive Total]], Table_Measure_Caps[[#Totals],[Gross Measure Cost Total]], Value_Project_CAP)/Table_Measure_Caps[[#Totals],[Estimated Raw Incentive Total]], "")</f>
        <v/>
      </c>
      <c r="J98" s="45">
        <f>Refrigeration!H51</f>
        <v>0</v>
      </c>
      <c r="K98" s="30">
        <f>Refrigeration!I51</f>
        <v>0</v>
      </c>
      <c r="L98" s="29" t="str">
        <f t="shared" si="3"/>
        <v>Version 3.1</v>
      </c>
      <c r="M98" s="106">
        <f>Refrigeration!E51</f>
        <v>0</v>
      </c>
      <c r="N98" s="105" t="str">
        <f>Refrigeration!K51</f>
        <v/>
      </c>
    </row>
    <row r="99" spans="1:14" x14ac:dyDescent="0.2">
      <c r="A99" s="32" t="s">
        <v>344</v>
      </c>
      <c r="B99" s="30">
        <f t="shared" si="2"/>
        <v>0</v>
      </c>
      <c r="C99" s="30">
        <f>Refrigeration!B52</f>
        <v>47</v>
      </c>
      <c r="D99" s="30" t="str">
        <f>Refrigeration!C52</f>
        <v/>
      </c>
      <c r="E99" s="30" t="str">
        <f>Refrigeration!F52</f>
        <v/>
      </c>
      <c r="F99" s="31">
        <f>Refrigeration!G52</f>
        <v>0</v>
      </c>
      <c r="G99" s="31" t="str">
        <f>Refrigeration!L52</f>
        <v/>
      </c>
      <c r="H99" s="140" t="str">
        <f>Refrigeration!M52</f>
        <v/>
      </c>
      <c r="I99" s="45" t="str">
        <f>IFERROR(N99*MIN(Table_Measure_Caps[[#Totals],[Estimated Raw Incentive Total]], Table_Measure_Caps[[#Totals],[Gross Measure Cost Total]], Value_Project_CAP)/Table_Measure_Caps[[#Totals],[Estimated Raw Incentive Total]], "")</f>
        <v/>
      </c>
      <c r="J99" s="45">
        <f>Refrigeration!H52</f>
        <v>0</v>
      </c>
      <c r="K99" s="30">
        <f>Refrigeration!I52</f>
        <v>0</v>
      </c>
      <c r="L99" s="29" t="str">
        <f t="shared" si="3"/>
        <v>Version 3.1</v>
      </c>
      <c r="M99" s="106">
        <f>Refrigeration!E52</f>
        <v>0</v>
      </c>
      <c r="N99" s="105" t="str">
        <f>Refrigeration!K52</f>
        <v/>
      </c>
    </row>
    <row r="100" spans="1:14" x14ac:dyDescent="0.2">
      <c r="A100" s="32" t="s">
        <v>344</v>
      </c>
      <c r="B100" s="30">
        <f t="shared" si="2"/>
        <v>0</v>
      </c>
      <c r="C100" s="30">
        <f>Refrigeration!B53</f>
        <v>48</v>
      </c>
      <c r="D100" s="30" t="str">
        <f>Refrigeration!C53</f>
        <v/>
      </c>
      <c r="E100" s="30" t="str">
        <f>Refrigeration!F53</f>
        <v/>
      </c>
      <c r="F100" s="31">
        <f>Refrigeration!G53</f>
        <v>0</v>
      </c>
      <c r="G100" s="31" t="str">
        <f>Refrigeration!L53</f>
        <v/>
      </c>
      <c r="H100" s="140" t="str">
        <f>Refrigeration!M53</f>
        <v/>
      </c>
      <c r="I100" s="45" t="str">
        <f>IFERROR(N100*MIN(Table_Measure_Caps[[#Totals],[Estimated Raw Incentive Total]], Table_Measure_Caps[[#Totals],[Gross Measure Cost Total]], Value_Project_CAP)/Table_Measure_Caps[[#Totals],[Estimated Raw Incentive Total]], "")</f>
        <v/>
      </c>
      <c r="J100" s="45">
        <f>Refrigeration!H53</f>
        <v>0</v>
      </c>
      <c r="K100" s="30">
        <f>Refrigeration!I53</f>
        <v>0</v>
      </c>
      <c r="L100" s="29" t="str">
        <f t="shared" si="3"/>
        <v>Version 3.1</v>
      </c>
      <c r="M100" s="106">
        <f>Refrigeration!E53</f>
        <v>0</v>
      </c>
      <c r="N100" s="105" t="str">
        <f>Refrigeration!K53</f>
        <v/>
      </c>
    </row>
    <row r="101" spans="1:14" x14ac:dyDescent="0.2">
      <c r="A101" s="32" t="s">
        <v>344</v>
      </c>
      <c r="B101" s="30">
        <f t="shared" si="2"/>
        <v>0</v>
      </c>
      <c r="C101" s="30">
        <f>Refrigeration!B54</f>
        <v>49</v>
      </c>
      <c r="D101" s="30" t="str">
        <f>Refrigeration!C54</f>
        <v/>
      </c>
      <c r="E101" s="30" t="str">
        <f>Refrigeration!F54</f>
        <v/>
      </c>
      <c r="F101" s="31">
        <f>Refrigeration!G54</f>
        <v>0</v>
      </c>
      <c r="G101" s="31" t="str">
        <f>Refrigeration!L54</f>
        <v/>
      </c>
      <c r="H101" s="140" t="str">
        <f>Refrigeration!M54</f>
        <v/>
      </c>
      <c r="I101" s="45" t="str">
        <f>IFERROR(N101*MIN(Table_Measure_Caps[[#Totals],[Estimated Raw Incentive Total]], Table_Measure_Caps[[#Totals],[Gross Measure Cost Total]], Value_Project_CAP)/Table_Measure_Caps[[#Totals],[Estimated Raw Incentive Total]], "")</f>
        <v/>
      </c>
      <c r="J101" s="45">
        <f>Refrigeration!H54</f>
        <v>0</v>
      </c>
      <c r="K101" s="30">
        <f>Refrigeration!I54</f>
        <v>0</v>
      </c>
      <c r="L101" s="29" t="str">
        <f t="shared" si="3"/>
        <v>Version 3.1</v>
      </c>
      <c r="M101" s="106">
        <f>Refrigeration!E54</f>
        <v>0</v>
      </c>
      <c r="N101" s="105" t="str">
        <f>Refrigeration!K54</f>
        <v/>
      </c>
    </row>
    <row r="102" spans="1:14" x14ac:dyDescent="0.2">
      <c r="A102" s="32" t="s">
        <v>344</v>
      </c>
      <c r="B102" s="30">
        <f t="shared" si="2"/>
        <v>0</v>
      </c>
      <c r="C102" s="30">
        <f>Refrigeration!B55</f>
        <v>50</v>
      </c>
      <c r="D102" s="30" t="str">
        <f>Refrigeration!C55</f>
        <v/>
      </c>
      <c r="E102" s="30" t="str">
        <f>Refrigeration!F55</f>
        <v/>
      </c>
      <c r="F102" s="31">
        <f>Refrigeration!G55</f>
        <v>0</v>
      </c>
      <c r="G102" s="31" t="str">
        <f>Refrigeration!L55</f>
        <v/>
      </c>
      <c r="H102" s="140" t="str">
        <f>Refrigeration!M55</f>
        <v/>
      </c>
      <c r="I102" s="45" t="str">
        <f>IFERROR(N102*MIN(Table_Measure_Caps[[#Totals],[Estimated Raw Incentive Total]], Table_Measure_Caps[[#Totals],[Gross Measure Cost Total]], Value_Project_CAP)/Table_Measure_Caps[[#Totals],[Estimated Raw Incentive Total]], "")</f>
        <v/>
      </c>
      <c r="J102" s="45">
        <f>Refrigeration!H55</f>
        <v>0</v>
      </c>
      <c r="K102" s="30">
        <f>Refrigeration!I55</f>
        <v>0</v>
      </c>
      <c r="L102" s="29" t="str">
        <f t="shared" si="3"/>
        <v>Version 3.1</v>
      </c>
      <c r="M102" s="106">
        <f>Refrigeration!E55</f>
        <v>0</v>
      </c>
      <c r="N102" s="105" t="str">
        <f>Refrigeration!K55</f>
        <v/>
      </c>
    </row>
    <row r="103" spans="1:14" x14ac:dyDescent="0.2">
      <c r="A103" s="13" t="s">
        <v>488</v>
      </c>
      <c r="B103" s="12">
        <f t="shared" si="0"/>
        <v>0</v>
      </c>
      <c r="C103" s="12">
        <f>'Com Kitchen'!B5</f>
        <v>1</v>
      </c>
      <c r="D103" s="12" t="str">
        <f>'Com Kitchen'!C5</f>
        <v/>
      </c>
      <c r="E103" s="12" t="s">
        <v>541</v>
      </c>
      <c r="F103" s="14">
        <f>1</f>
        <v>1</v>
      </c>
      <c r="G103" s="14" t="str">
        <f>'Com Kitchen'!L5</f>
        <v/>
      </c>
      <c r="H103" s="139" t="str">
        <f>'Com Kitchen'!M5</f>
        <v/>
      </c>
      <c r="I103" s="44" t="str">
        <f>IFERROR(N103*MIN(Table_Measure_Caps[[#Totals],[Estimated Raw Incentive Total]], Table_Measure_Caps[[#Totals],[Gross Measure Cost Total]], Value_Project_CAP)/Table_Measure_Caps[[#Totals],[Estimated Raw Incentive Total]], "")</f>
        <v/>
      </c>
      <c r="J103" s="44">
        <f>'Com Kitchen'!H5</f>
        <v>0</v>
      </c>
      <c r="K103" s="12">
        <f>'Com Kitchen'!I5</f>
        <v>0</v>
      </c>
      <c r="L103" s="29" t="str">
        <f t="shared" si="3"/>
        <v>Version 3.1</v>
      </c>
      <c r="M103" s="99">
        <f>'Com Kitchen'!E5</f>
        <v>0</v>
      </c>
      <c r="N103" s="41" t="str">
        <f>'Com Kitchen'!K5</f>
        <v/>
      </c>
    </row>
    <row r="104" spans="1:14" x14ac:dyDescent="0.2">
      <c r="A104" s="13" t="s">
        <v>488</v>
      </c>
      <c r="B104" s="12">
        <f t="shared" si="0"/>
        <v>0</v>
      </c>
      <c r="C104" s="12">
        <f>'Com Kitchen'!B6</f>
        <v>2</v>
      </c>
      <c r="D104" s="12" t="str">
        <f>'Com Kitchen'!C6</f>
        <v/>
      </c>
      <c r="E104" s="12" t="s">
        <v>541</v>
      </c>
      <c r="F104" s="14">
        <f>1</f>
        <v>1</v>
      </c>
      <c r="G104" s="14" t="str">
        <f>'Com Kitchen'!L6</f>
        <v/>
      </c>
      <c r="H104" s="139" t="str">
        <f>'Com Kitchen'!M6</f>
        <v/>
      </c>
      <c r="I104" s="44" t="str">
        <f>IFERROR(N104*MIN(Table_Measure_Caps[[#Totals],[Estimated Raw Incentive Total]], Table_Measure_Caps[[#Totals],[Gross Measure Cost Total]], Value_Project_CAP)/Table_Measure_Caps[[#Totals],[Estimated Raw Incentive Total]], "")</f>
        <v/>
      </c>
      <c r="J104" s="44">
        <f>'Com Kitchen'!H6</f>
        <v>0</v>
      </c>
      <c r="K104" s="12">
        <f>'Com Kitchen'!I6</f>
        <v>0</v>
      </c>
      <c r="L104" s="29" t="str">
        <f t="shared" si="3"/>
        <v>Version 3.1</v>
      </c>
      <c r="M104" s="99">
        <f>'Com Kitchen'!E6</f>
        <v>0</v>
      </c>
      <c r="N104" s="41" t="str">
        <f>'Com Kitchen'!K6</f>
        <v/>
      </c>
    </row>
    <row r="105" spans="1:14" x14ac:dyDescent="0.2">
      <c r="A105" s="13" t="s">
        <v>488</v>
      </c>
      <c r="B105" s="12">
        <f t="shared" ref="B105:B132" si="4">Input_ProjectNumber</f>
        <v>0</v>
      </c>
      <c r="C105" s="12">
        <f>'Com Kitchen'!B7</f>
        <v>3</v>
      </c>
      <c r="D105" s="12" t="str">
        <f>'Com Kitchen'!C7</f>
        <v/>
      </c>
      <c r="E105" s="12" t="s">
        <v>541</v>
      </c>
      <c r="F105" s="14">
        <f>1</f>
        <v>1</v>
      </c>
      <c r="G105" s="14" t="str">
        <f>'Com Kitchen'!L7</f>
        <v/>
      </c>
      <c r="H105" s="139" t="str">
        <f>'Com Kitchen'!M7</f>
        <v/>
      </c>
      <c r="I105" s="44" t="str">
        <f>IFERROR(N105*MIN(Table_Measure_Caps[[#Totals],[Estimated Raw Incentive Total]], Table_Measure_Caps[[#Totals],[Gross Measure Cost Total]], Value_Project_CAP)/Table_Measure_Caps[[#Totals],[Estimated Raw Incentive Total]], "")</f>
        <v/>
      </c>
      <c r="J105" s="44">
        <f>'Com Kitchen'!H7</f>
        <v>0</v>
      </c>
      <c r="K105" s="12">
        <f>'Com Kitchen'!I7</f>
        <v>0</v>
      </c>
      <c r="L105" s="29" t="str">
        <f t="shared" si="3"/>
        <v>Version 3.1</v>
      </c>
      <c r="M105" s="99">
        <f>'Com Kitchen'!E7</f>
        <v>0</v>
      </c>
      <c r="N105" s="41" t="str">
        <f>'Com Kitchen'!K7</f>
        <v/>
      </c>
    </row>
    <row r="106" spans="1:14" x14ac:dyDescent="0.2">
      <c r="A106" s="13" t="s">
        <v>488</v>
      </c>
      <c r="B106" s="12">
        <f t="shared" si="4"/>
        <v>0</v>
      </c>
      <c r="C106" s="12">
        <f>'Com Kitchen'!B8</f>
        <v>4</v>
      </c>
      <c r="D106" s="12" t="str">
        <f>'Com Kitchen'!C8</f>
        <v/>
      </c>
      <c r="E106" s="12" t="s">
        <v>541</v>
      </c>
      <c r="F106" s="14">
        <f>1</f>
        <v>1</v>
      </c>
      <c r="G106" s="14" t="str">
        <f>'Com Kitchen'!L8</f>
        <v/>
      </c>
      <c r="H106" s="139" t="str">
        <f>'Com Kitchen'!M8</f>
        <v/>
      </c>
      <c r="I106" s="44" t="str">
        <f>IFERROR(N106*MIN(Table_Measure_Caps[[#Totals],[Estimated Raw Incentive Total]], Table_Measure_Caps[[#Totals],[Gross Measure Cost Total]], Value_Project_CAP)/Table_Measure_Caps[[#Totals],[Estimated Raw Incentive Total]], "")</f>
        <v/>
      </c>
      <c r="J106" s="44">
        <f>'Com Kitchen'!H8</f>
        <v>0</v>
      </c>
      <c r="K106" s="12">
        <f>'Com Kitchen'!I8</f>
        <v>0</v>
      </c>
      <c r="L106" s="29" t="str">
        <f t="shared" si="3"/>
        <v>Version 3.1</v>
      </c>
      <c r="M106" s="99">
        <f>'Com Kitchen'!E8</f>
        <v>0</v>
      </c>
      <c r="N106" s="41" t="str">
        <f>'Com Kitchen'!K8</f>
        <v/>
      </c>
    </row>
    <row r="107" spans="1:14" x14ac:dyDescent="0.2">
      <c r="A107" s="13" t="s">
        <v>488</v>
      </c>
      <c r="B107" s="12">
        <f t="shared" si="4"/>
        <v>0</v>
      </c>
      <c r="C107" s="12">
        <f>'Com Kitchen'!B9</f>
        <v>5</v>
      </c>
      <c r="D107" s="12" t="str">
        <f>'Com Kitchen'!C9</f>
        <v/>
      </c>
      <c r="E107" s="12" t="s">
        <v>541</v>
      </c>
      <c r="F107" s="14">
        <f>1</f>
        <v>1</v>
      </c>
      <c r="G107" s="14" t="str">
        <f>'Com Kitchen'!L9</f>
        <v/>
      </c>
      <c r="H107" s="139" t="str">
        <f>'Com Kitchen'!M9</f>
        <v/>
      </c>
      <c r="I107" s="44" t="str">
        <f>IFERROR(N107*MIN(Table_Measure_Caps[[#Totals],[Estimated Raw Incentive Total]], Table_Measure_Caps[[#Totals],[Gross Measure Cost Total]], Value_Project_CAP)/Table_Measure_Caps[[#Totals],[Estimated Raw Incentive Total]], "")</f>
        <v/>
      </c>
      <c r="J107" s="44">
        <f>'Com Kitchen'!H9</f>
        <v>0</v>
      </c>
      <c r="K107" s="12">
        <f>'Com Kitchen'!I9</f>
        <v>0</v>
      </c>
      <c r="L107" s="29" t="str">
        <f t="shared" si="3"/>
        <v>Version 3.1</v>
      </c>
      <c r="M107" s="99">
        <f>'Com Kitchen'!E9</f>
        <v>0</v>
      </c>
      <c r="N107" s="41" t="str">
        <f>'Com Kitchen'!K9</f>
        <v/>
      </c>
    </row>
    <row r="108" spans="1:14" x14ac:dyDescent="0.2">
      <c r="A108" s="13" t="s">
        <v>488</v>
      </c>
      <c r="B108" s="12">
        <f t="shared" si="4"/>
        <v>0</v>
      </c>
      <c r="C108" s="12">
        <f>'Com Kitchen'!B10</f>
        <v>6</v>
      </c>
      <c r="D108" s="12" t="str">
        <f>'Com Kitchen'!C10</f>
        <v/>
      </c>
      <c r="E108" s="12" t="s">
        <v>541</v>
      </c>
      <c r="F108" s="14">
        <f>1</f>
        <v>1</v>
      </c>
      <c r="G108" s="14" t="str">
        <f>'Com Kitchen'!L10</f>
        <v/>
      </c>
      <c r="H108" s="139" t="str">
        <f>'Com Kitchen'!M10</f>
        <v/>
      </c>
      <c r="I108" s="44" t="str">
        <f>IFERROR(N108*MIN(Table_Measure_Caps[[#Totals],[Estimated Raw Incentive Total]], Table_Measure_Caps[[#Totals],[Gross Measure Cost Total]], Value_Project_CAP)/Table_Measure_Caps[[#Totals],[Estimated Raw Incentive Total]], "")</f>
        <v/>
      </c>
      <c r="J108" s="44">
        <f>'Com Kitchen'!H10</f>
        <v>0</v>
      </c>
      <c r="K108" s="12">
        <f>'Com Kitchen'!I10</f>
        <v>0</v>
      </c>
      <c r="L108" s="29" t="str">
        <f t="shared" si="3"/>
        <v>Version 3.1</v>
      </c>
      <c r="M108" s="99">
        <f>'Com Kitchen'!E10</f>
        <v>0</v>
      </c>
      <c r="N108" s="41" t="str">
        <f>'Com Kitchen'!K10</f>
        <v/>
      </c>
    </row>
    <row r="109" spans="1:14" x14ac:dyDescent="0.2">
      <c r="A109" s="13" t="s">
        <v>488</v>
      </c>
      <c r="B109" s="12">
        <f t="shared" si="4"/>
        <v>0</v>
      </c>
      <c r="C109" s="12">
        <f>'Com Kitchen'!B11</f>
        <v>7</v>
      </c>
      <c r="D109" s="12" t="str">
        <f>'Com Kitchen'!C11</f>
        <v/>
      </c>
      <c r="E109" s="12" t="s">
        <v>541</v>
      </c>
      <c r="F109" s="14">
        <f>1</f>
        <v>1</v>
      </c>
      <c r="G109" s="14" t="str">
        <f>'Com Kitchen'!L11</f>
        <v/>
      </c>
      <c r="H109" s="139" t="str">
        <f>'Com Kitchen'!M11</f>
        <v/>
      </c>
      <c r="I109" s="44" t="str">
        <f>IFERROR(N109*MIN(Table_Measure_Caps[[#Totals],[Estimated Raw Incentive Total]], Table_Measure_Caps[[#Totals],[Gross Measure Cost Total]], Value_Project_CAP)/Table_Measure_Caps[[#Totals],[Estimated Raw Incentive Total]], "")</f>
        <v/>
      </c>
      <c r="J109" s="44">
        <f>'Com Kitchen'!H11</f>
        <v>0</v>
      </c>
      <c r="K109" s="12">
        <f>'Com Kitchen'!I11</f>
        <v>0</v>
      </c>
      <c r="L109" s="29" t="str">
        <f t="shared" si="3"/>
        <v>Version 3.1</v>
      </c>
      <c r="M109" s="99">
        <f>'Com Kitchen'!E11</f>
        <v>0</v>
      </c>
      <c r="N109" s="41" t="str">
        <f>'Com Kitchen'!K11</f>
        <v/>
      </c>
    </row>
    <row r="110" spans="1:14" x14ac:dyDescent="0.2">
      <c r="A110" s="13" t="s">
        <v>488</v>
      </c>
      <c r="B110" s="12">
        <f t="shared" si="4"/>
        <v>0</v>
      </c>
      <c r="C110" s="12">
        <f>'Com Kitchen'!B12</f>
        <v>8</v>
      </c>
      <c r="D110" s="12" t="str">
        <f>'Com Kitchen'!C12</f>
        <v/>
      </c>
      <c r="E110" s="12" t="s">
        <v>541</v>
      </c>
      <c r="F110" s="14">
        <f>1</f>
        <v>1</v>
      </c>
      <c r="G110" s="14" t="str">
        <f>'Com Kitchen'!L12</f>
        <v/>
      </c>
      <c r="H110" s="139" t="str">
        <f>'Com Kitchen'!M12</f>
        <v/>
      </c>
      <c r="I110" s="44" t="str">
        <f>IFERROR(N110*MIN(Table_Measure_Caps[[#Totals],[Estimated Raw Incentive Total]], Table_Measure_Caps[[#Totals],[Gross Measure Cost Total]], Value_Project_CAP)/Table_Measure_Caps[[#Totals],[Estimated Raw Incentive Total]], "")</f>
        <v/>
      </c>
      <c r="J110" s="44">
        <f>'Com Kitchen'!H12</f>
        <v>0</v>
      </c>
      <c r="K110" s="12">
        <f>'Com Kitchen'!I12</f>
        <v>0</v>
      </c>
      <c r="L110" s="29" t="str">
        <f t="shared" si="3"/>
        <v>Version 3.1</v>
      </c>
      <c r="M110" s="99">
        <f>'Com Kitchen'!E12</f>
        <v>0</v>
      </c>
      <c r="N110" s="41" t="str">
        <f>'Com Kitchen'!K12</f>
        <v/>
      </c>
    </row>
    <row r="111" spans="1:14" x14ac:dyDescent="0.2">
      <c r="A111" s="13" t="s">
        <v>488</v>
      </c>
      <c r="B111" s="12">
        <f t="shared" si="4"/>
        <v>0</v>
      </c>
      <c r="C111" s="12">
        <f>'Com Kitchen'!B13</f>
        <v>9</v>
      </c>
      <c r="D111" s="12" t="str">
        <f>'Com Kitchen'!C13</f>
        <v/>
      </c>
      <c r="E111" s="12" t="s">
        <v>541</v>
      </c>
      <c r="F111" s="14">
        <f>1</f>
        <v>1</v>
      </c>
      <c r="G111" s="14" t="str">
        <f>'Com Kitchen'!L13</f>
        <v/>
      </c>
      <c r="H111" s="139" t="str">
        <f>'Com Kitchen'!M13</f>
        <v/>
      </c>
      <c r="I111" s="44" t="str">
        <f>IFERROR(N111*MIN(Table_Measure_Caps[[#Totals],[Estimated Raw Incentive Total]], Table_Measure_Caps[[#Totals],[Gross Measure Cost Total]], Value_Project_CAP)/Table_Measure_Caps[[#Totals],[Estimated Raw Incentive Total]], "")</f>
        <v/>
      </c>
      <c r="J111" s="44">
        <f>'Com Kitchen'!H13</f>
        <v>0</v>
      </c>
      <c r="K111" s="12">
        <f>'Com Kitchen'!I13</f>
        <v>0</v>
      </c>
      <c r="L111" s="29" t="str">
        <f t="shared" si="3"/>
        <v>Version 3.1</v>
      </c>
      <c r="M111" s="99">
        <f>'Com Kitchen'!E13</f>
        <v>0</v>
      </c>
      <c r="N111" s="41" t="str">
        <f>'Com Kitchen'!K13</f>
        <v/>
      </c>
    </row>
    <row r="112" spans="1:14" x14ac:dyDescent="0.2">
      <c r="A112" s="13" t="s">
        <v>488</v>
      </c>
      <c r="B112" s="12">
        <f t="shared" si="4"/>
        <v>0</v>
      </c>
      <c r="C112" s="12">
        <f>'Com Kitchen'!B14</f>
        <v>10</v>
      </c>
      <c r="D112" s="12" t="str">
        <f>'Com Kitchen'!C14</f>
        <v/>
      </c>
      <c r="E112" s="12" t="s">
        <v>541</v>
      </c>
      <c r="F112" s="14">
        <f>1</f>
        <v>1</v>
      </c>
      <c r="G112" s="14" t="str">
        <f>'Com Kitchen'!L14</f>
        <v/>
      </c>
      <c r="H112" s="139" t="str">
        <f>'Com Kitchen'!M14</f>
        <v/>
      </c>
      <c r="I112" s="44" t="str">
        <f>IFERROR(N112*MIN(Table_Measure_Caps[[#Totals],[Estimated Raw Incentive Total]], Table_Measure_Caps[[#Totals],[Gross Measure Cost Total]], Value_Project_CAP)/Table_Measure_Caps[[#Totals],[Estimated Raw Incentive Total]], "")</f>
        <v/>
      </c>
      <c r="J112" s="44">
        <f>'Com Kitchen'!H14</f>
        <v>0</v>
      </c>
      <c r="K112" s="12">
        <f>'Com Kitchen'!I14</f>
        <v>0</v>
      </c>
      <c r="L112" s="29" t="str">
        <f t="shared" si="3"/>
        <v>Version 3.1</v>
      </c>
      <c r="M112" s="99">
        <f>'Com Kitchen'!E14</f>
        <v>0</v>
      </c>
      <c r="N112" s="41" t="str">
        <f>'Com Kitchen'!K14</f>
        <v/>
      </c>
    </row>
    <row r="113" spans="1:14" x14ac:dyDescent="0.2">
      <c r="A113" s="13" t="s">
        <v>488</v>
      </c>
      <c r="B113" s="12">
        <f t="shared" si="4"/>
        <v>0</v>
      </c>
      <c r="C113" s="12">
        <f>'Com Kitchen'!B15</f>
        <v>11</v>
      </c>
      <c r="D113" s="12" t="str">
        <f>'Com Kitchen'!C15</f>
        <v/>
      </c>
      <c r="E113" s="12" t="s">
        <v>541</v>
      </c>
      <c r="F113" s="14">
        <f>1</f>
        <v>1</v>
      </c>
      <c r="G113" s="14" t="str">
        <f>'Com Kitchen'!L15</f>
        <v/>
      </c>
      <c r="H113" s="139" t="str">
        <f>'Com Kitchen'!M15</f>
        <v/>
      </c>
      <c r="I113" s="44" t="str">
        <f>IFERROR(N113*MIN(Table_Measure_Caps[[#Totals],[Estimated Raw Incentive Total]], Table_Measure_Caps[[#Totals],[Gross Measure Cost Total]], Value_Project_CAP)/Table_Measure_Caps[[#Totals],[Estimated Raw Incentive Total]], "")</f>
        <v/>
      </c>
      <c r="J113" s="44">
        <f>'Com Kitchen'!H15</f>
        <v>0</v>
      </c>
      <c r="K113" s="12">
        <f>'Com Kitchen'!I15</f>
        <v>0</v>
      </c>
      <c r="L113" s="29" t="str">
        <f t="shared" si="3"/>
        <v>Version 3.1</v>
      </c>
      <c r="M113" s="99">
        <f>'Com Kitchen'!E15</f>
        <v>0</v>
      </c>
      <c r="N113" s="41" t="str">
        <f>'Com Kitchen'!K15</f>
        <v/>
      </c>
    </row>
    <row r="114" spans="1:14" x14ac:dyDescent="0.2">
      <c r="A114" s="13" t="s">
        <v>488</v>
      </c>
      <c r="B114" s="12">
        <f t="shared" si="4"/>
        <v>0</v>
      </c>
      <c r="C114" s="12">
        <f>'Com Kitchen'!B16</f>
        <v>12</v>
      </c>
      <c r="D114" s="12" t="str">
        <f>'Com Kitchen'!C16</f>
        <v/>
      </c>
      <c r="E114" s="12" t="s">
        <v>541</v>
      </c>
      <c r="F114" s="14">
        <f>1</f>
        <v>1</v>
      </c>
      <c r="G114" s="14" t="str">
        <f>'Com Kitchen'!L16</f>
        <v/>
      </c>
      <c r="H114" s="139" t="str">
        <f>'Com Kitchen'!M16</f>
        <v/>
      </c>
      <c r="I114" s="44" t="str">
        <f>IFERROR(N114*MIN(Table_Measure_Caps[[#Totals],[Estimated Raw Incentive Total]], Table_Measure_Caps[[#Totals],[Gross Measure Cost Total]], Value_Project_CAP)/Table_Measure_Caps[[#Totals],[Estimated Raw Incentive Total]], "")</f>
        <v/>
      </c>
      <c r="J114" s="44">
        <f>'Com Kitchen'!H16</f>
        <v>0</v>
      </c>
      <c r="K114" s="12">
        <f>'Com Kitchen'!I16</f>
        <v>0</v>
      </c>
      <c r="L114" s="29" t="str">
        <f t="shared" si="3"/>
        <v>Version 3.1</v>
      </c>
      <c r="M114" s="99">
        <f>'Com Kitchen'!E16</f>
        <v>0</v>
      </c>
      <c r="N114" s="41" t="str">
        <f>'Com Kitchen'!K16</f>
        <v/>
      </c>
    </row>
    <row r="115" spans="1:14" x14ac:dyDescent="0.2">
      <c r="A115" s="13" t="s">
        <v>488</v>
      </c>
      <c r="B115" s="12">
        <f t="shared" si="4"/>
        <v>0</v>
      </c>
      <c r="C115" s="12">
        <f>'Com Kitchen'!B17</f>
        <v>13</v>
      </c>
      <c r="D115" s="12" t="str">
        <f>'Com Kitchen'!C17</f>
        <v/>
      </c>
      <c r="E115" s="12" t="s">
        <v>541</v>
      </c>
      <c r="F115" s="14">
        <f>1</f>
        <v>1</v>
      </c>
      <c r="G115" s="14" t="str">
        <f>'Com Kitchen'!L17</f>
        <v/>
      </c>
      <c r="H115" s="139" t="str">
        <f>'Com Kitchen'!M17</f>
        <v/>
      </c>
      <c r="I115" s="44" t="str">
        <f>IFERROR(N115*MIN(Table_Measure_Caps[[#Totals],[Estimated Raw Incentive Total]], Table_Measure_Caps[[#Totals],[Gross Measure Cost Total]], Value_Project_CAP)/Table_Measure_Caps[[#Totals],[Estimated Raw Incentive Total]], "")</f>
        <v/>
      </c>
      <c r="J115" s="44">
        <f>'Com Kitchen'!H17</f>
        <v>0</v>
      </c>
      <c r="K115" s="12">
        <f>'Com Kitchen'!I17</f>
        <v>0</v>
      </c>
      <c r="L115" s="29" t="str">
        <f t="shared" si="3"/>
        <v>Version 3.1</v>
      </c>
      <c r="M115" s="99">
        <f>'Com Kitchen'!E17</f>
        <v>0</v>
      </c>
      <c r="N115" s="41" t="str">
        <f>'Com Kitchen'!K17</f>
        <v/>
      </c>
    </row>
    <row r="116" spans="1:14" x14ac:dyDescent="0.2">
      <c r="A116" s="13" t="s">
        <v>488</v>
      </c>
      <c r="B116" s="12">
        <f t="shared" si="4"/>
        <v>0</v>
      </c>
      <c r="C116" s="12">
        <f>'Com Kitchen'!B18</f>
        <v>14</v>
      </c>
      <c r="D116" s="12" t="str">
        <f>'Com Kitchen'!C18</f>
        <v/>
      </c>
      <c r="E116" s="12" t="s">
        <v>541</v>
      </c>
      <c r="F116" s="14">
        <f>1</f>
        <v>1</v>
      </c>
      <c r="G116" s="14" t="str">
        <f>'Com Kitchen'!L18</f>
        <v/>
      </c>
      <c r="H116" s="139" t="str">
        <f>'Com Kitchen'!M18</f>
        <v/>
      </c>
      <c r="I116" s="44" t="str">
        <f>IFERROR(N116*MIN(Table_Measure_Caps[[#Totals],[Estimated Raw Incentive Total]], Table_Measure_Caps[[#Totals],[Gross Measure Cost Total]], Value_Project_CAP)/Table_Measure_Caps[[#Totals],[Estimated Raw Incentive Total]], "")</f>
        <v/>
      </c>
      <c r="J116" s="44">
        <f>'Com Kitchen'!H18</f>
        <v>0</v>
      </c>
      <c r="K116" s="12">
        <f>'Com Kitchen'!I18</f>
        <v>0</v>
      </c>
      <c r="L116" s="29" t="str">
        <f t="shared" si="3"/>
        <v>Version 3.1</v>
      </c>
      <c r="M116" s="99">
        <f>'Com Kitchen'!E18</f>
        <v>0</v>
      </c>
      <c r="N116" s="41" t="str">
        <f>'Com Kitchen'!K18</f>
        <v/>
      </c>
    </row>
    <row r="117" spans="1:14" x14ac:dyDescent="0.2">
      <c r="A117" s="13" t="s">
        <v>488</v>
      </c>
      <c r="B117" s="12">
        <f t="shared" si="4"/>
        <v>0</v>
      </c>
      <c r="C117" s="12">
        <f>'Com Kitchen'!B19</f>
        <v>15</v>
      </c>
      <c r="D117" s="12" t="str">
        <f>'Com Kitchen'!C19</f>
        <v/>
      </c>
      <c r="E117" s="12" t="s">
        <v>541</v>
      </c>
      <c r="F117" s="14">
        <f>1</f>
        <v>1</v>
      </c>
      <c r="G117" s="14" t="str">
        <f>'Com Kitchen'!L19</f>
        <v/>
      </c>
      <c r="H117" s="139" t="str">
        <f>'Com Kitchen'!M19</f>
        <v/>
      </c>
      <c r="I117" s="44" t="str">
        <f>IFERROR(N117*MIN(Table_Measure_Caps[[#Totals],[Estimated Raw Incentive Total]], Table_Measure_Caps[[#Totals],[Gross Measure Cost Total]], Value_Project_CAP)/Table_Measure_Caps[[#Totals],[Estimated Raw Incentive Total]], "")</f>
        <v/>
      </c>
      <c r="J117" s="44">
        <f>'Com Kitchen'!H19</f>
        <v>0</v>
      </c>
      <c r="K117" s="12">
        <f>'Com Kitchen'!I19</f>
        <v>0</v>
      </c>
      <c r="L117" s="29" t="str">
        <f t="shared" si="3"/>
        <v>Version 3.1</v>
      </c>
      <c r="M117" s="99">
        <f>'Com Kitchen'!E19</f>
        <v>0</v>
      </c>
      <c r="N117" s="41" t="str">
        <f>'Com Kitchen'!K19</f>
        <v/>
      </c>
    </row>
    <row r="118" spans="1:14" x14ac:dyDescent="0.2">
      <c r="A118" s="13" t="s">
        <v>488</v>
      </c>
      <c r="B118" s="12">
        <f t="shared" si="4"/>
        <v>0</v>
      </c>
      <c r="C118" s="12">
        <f>'Com Kitchen'!B20</f>
        <v>16</v>
      </c>
      <c r="D118" s="12" t="str">
        <f>'Com Kitchen'!C20</f>
        <v/>
      </c>
      <c r="E118" s="12" t="s">
        <v>541</v>
      </c>
      <c r="F118" s="14">
        <f>1</f>
        <v>1</v>
      </c>
      <c r="G118" s="14" t="str">
        <f>'Com Kitchen'!L20</f>
        <v/>
      </c>
      <c r="H118" s="139" t="str">
        <f>'Com Kitchen'!M20</f>
        <v/>
      </c>
      <c r="I118" s="44" t="str">
        <f>IFERROR(N118*MIN(Table_Measure_Caps[[#Totals],[Estimated Raw Incentive Total]], Table_Measure_Caps[[#Totals],[Gross Measure Cost Total]], Value_Project_CAP)/Table_Measure_Caps[[#Totals],[Estimated Raw Incentive Total]], "")</f>
        <v/>
      </c>
      <c r="J118" s="44">
        <f>'Com Kitchen'!H20</f>
        <v>0</v>
      </c>
      <c r="K118" s="12">
        <f>'Com Kitchen'!I20</f>
        <v>0</v>
      </c>
      <c r="L118" s="29" t="str">
        <f t="shared" si="3"/>
        <v>Version 3.1</v>
      </c>
      <c r="M118" s="99">
        <f>'Com Kitchen'!E20</f>
        <v>0</v>
      </c>
      <c r="N118" s="41" t="str">
        <f>'Com Kitchen'!K20</f>
        <v/>
      </c>
    </row>
    <row r="119" spans="1:14" x14ac:dyDescent="0.2">
      <c r="A119" s="13" t="s">
        <v>488</v>
      </c>
      <c r="B119" s="12">
        <f t="shared" si="4"/>
        <v>0</v>
      </c>
      <c r="C119" s="12">
        <f>'Com Kitchen'!B21</f>
        <v>17</v>
      </c>
      <c r="D119" s="12" t="str">
        <f>'Com Kitchen'!C21</f>
        <v/>
      </c>
      <c r="E119" s="12" t="s">
        <v>541</v>
      </c>
      <c r="F119" s="14">
        <f>1</f>
        <v>1</v>
      </c>
      <c r="G119" s="14" t="str">
        <f>'Com Kitchen'!L21</f>
        <v/>
      </c>
      <c r="H119" s="139" t="str">
        <f>'Com Kitchen'!M21</f>
        <v/>
      </c>
      <c r="I119" s="44" t="str">
        <f>IFERROR(N119*MIN(Table_Measure_Caps[[#Totals],[Estimated Raw Incentive Total]], Table_Measure_Caps[[#Totals],[Gross Measure Cost Total]], Value_Project_CAP)/Table_Measure_Caps[[#Totals],[Estimated Raw Incentive Total]], "")</f>
        <v/>
      </c>
      <c r="J119" s="44">
        <f>'Com Kitchen'!H21</f>
        <v>0</v>
      </c>
      <c r="K119" s="12">
        <f>'Com Kitchen'!I21</f>
        <v>0</v>
      </c>
      <c r="L119" s="29" t="str">
        <f t="shared" si="3"/>
        <v>Version 3.1</v>
      </c>
      <c r="M119" s="99">
        <f>'Com Kitchen'!E21</f>
        <v>0</v>
      </c>
      <c r="N119" s="41" t="str">
        <f>'Com Kitchen'!K21</f>
        <v/>
      </c>
    </row>
    <row r="120" spans="1:14" x14ac:dyDescent="0.2">
      <c r="A120" s="13" t="s">
        <v>488</v>
      </c>
      <c r="B120" s="12">
        <f t="shared" si="4"/>
        <v>0</v>
      </c>
      <c r="C120" s="12">
        <f>'Com Kitchen'!B22</f>
        <v>18</v>
      </c>
      <c r="D120" s="12" t="str">
        <f>'Com Kitchen'!C22</f>
        <v/>
      </c>
      <c r="E120" s="12" t="s">
        <v>541</v>
      </c>
      <c r="F120" s="14">
        <f>1</f>
        <v>1</v>
      </c>
      <c r="G120" s="14" t="str">
        <f>'Com Kitchen'!L22</f>
        <v/>
      </c>
      <c r="H120" s="139" t="str">
        <f>'Com Kitchen'!M22</f>
        <v/>
      </c>
      <c r="I120" s="44" t="str">
        <f>IFERROR(N120*MIN(Table_Measure_Caps[[#Totals],[Estimated Raw Incentive Total]], Table_Measure_Caps[[#Totals],[Gross Measure Cost Total]], Value_Project_CAP)/Table_Measure_Caps[[#Totals],[Estimated Raw Incentive Total]], "")</f>
        <v/>
      </c>
      <c r="J120" s="44">
        <f>'Com Kitchen'!H22</f>
        <v>0</v>
      </c>
      <c r="K120" s="12">
        <f>'Com Kitchen'!I22</f>
        <v>0</v>
      </c>
      <c r="L120" s="29" t="str">
        <f t="shared" si="3"/>
        <v>Version 3.1</v>
      </c>
      <c r="M120" s="99">
        <f>'Com Kitchen'!E22</f>
        <v>0</v>
      </c>
      <c r="N120" s="41" t="str">
        <f>'Com Kitchen'!K22</f>
        <v/>
      </c>
    </row>
    <row r="121" spans="1:14" x14ac:dyDescent="0.2">
      <c r="A121" s="13" t="s">
        <v>488</v>
      </c>
      <c r="B121" s="12">
        <f t="shared" si="4"/>
        <v>0</v>
      </c>
      <c r="C121" s="12">
        <f>'Com Kitchen'!B23</f>
        <v>19</v>
      </c>
      <c r="D121" s="12" t="str">
        <f>'Com Kitchen'!C23</f>
        <v/>
      </c>
      <c r="E121" s="12" t="s">
        <v>541</v>
      </c>
      <c r="F121" s="14">
        <f>1</f>
        <v>1</v>
      </c>
      <c r="G121" s="14" t="str">
        <f>'Com Kitchen'!L23</f>
        <v/>
      </c>
      <c r="H121" s="139" t="str">
        <f>'Com Kitchen'!M23</f>
        <v/>
      </c>
      <c r="I121" s="44" t="str">
        <f>IFERROR(N121*MIN(Table_Measure_Caps[[#Totals],[Estimated Raw Incentive Total]], Table_Measure_Caps[[#Totals],[Gross Measure Cost Total]], Value_Project_CAP)/Table_Measure_Caps[[#Totals],[Estimated Raw Incentive Total]], "")</f>
        <v/>
      </c>
      <c r="J121" s="44">
        <f>'Com Kitchen'!H23</f>
        <v>0</v>
      </c>
      <c r="K121" s="12">
        <f>'Com Kitchen'!I23</f>
        <v>0</v>
      </c>
      <c r="L121" s="29" t="str">
        <f t="shared" si="3"/>
        <v>Version 3.1</v>
      </c>
      <c r="M121" s="99">
        <f>'Com Kitchen'!E23</f>
        <v>0</v>
      </c>
      <c r="N121" s="41" t="str">
        <f>'Com Kitchen'!K23</f>
        <v/>
      </c>
    </row>
    <row r="122" spans="1:14" x14ac:dyDescent="0.2">
      <c r="A122" s="13" t="s">
        <v>488</v>
      </c>
      <c r="B122" s="12">
        <f t="shared" si="4"/>
        <v>0</v>
      </c>
      <c r="C122" s="12">
        <f>'Com Kitchen'!B24</f>
        <v>20</v>
      </c>
      <c r="D122" s="12" t="str">
        <f>'Com Kitchen'!C24</f>
        <v/>
      </c>
      <c r="E122" s="12" t="s">
        <v>541</v>
      </c>
      <c r="F122" s="14">
        <f>1</f>
        <v>1</v>
      </c>
      <c r="G122" s="14" t="str">
        <f>'Com Kitchen'!L24</f>
        <v/>
      </c>
      <c r="H122" s="139" t="str">
        <f>'Com Kitchen'!M24</f>
        <v/>
      </c>
      <c r="I122" s="44" t="str">
        <f>IFERROR(N122*MIN(Table_Measure_Caps[[#Totals],[Estimated Raw Incentive Total]], Table_Measure_Caps[[#Totals],[Gross Measure Cost Total]], Value_Project_CAP)/Table_Measure_Caps[[#Totals],[Estimated Raw Incentive Total]], "")</f>
        <v/>
      </c>
      <c r="J122" s="44">
        <f>'Com Kitchen'!H24</f>
        <v>0</v>
      </c>
      <c r="K122" s="12">
        <f>'Com Kitchen'!I24</f>
        <v>0</v>
      </c>
      <c r="L122" s="29" t="str">
        <f t="shared" si="3"/>
        <v>Version 3.1</v>
      </c>
      <c r="M122" s="99">
        <f>'Com Kitchen'!E24</f>
        <v>0</v>
      </c>
      <c r="N122" s="41" t="str">
        <f>'Com Kitchen'!K24</f>
        <v/>
      </c>
    </row>
    <row r="123" spans="1:14" x14ac:dyDescent="0.2">
      <c r="A123" s="13" t="s">
        <v>488</v>
      </c>
      <c r="B123" s="12">
        <f t="shared" si="4"/>
        <v>0</v>
      </c>
      <c r="C123" s="12">
        <f>'Com Kitchen'!B25</f>
        <v>21</v>
      </c>
      <c r="D123" s="12" t="str">
        <f>'Com Kitchen'!C25</f>
        <v/>
      </c>
      <c r="E123" s="12" t="s">
        <v>541</v>
      </c>
      <c r="F123" s="14">
        <f>1</f>
        <v>1</v>
      </c>
      <c r="G123" s="14" t="str">
        <f>'Com Kitchen'!L25</f>
        <v/>
      </c>
      <c r="H123" s="139" t="str">
        <f>'Com Kitchen'!M25</f>
        <v/>
      </c>
      <c r="I123" s="44" t="str">
        <f>IFERROR(N123*MIN(Table_Measure_Caps[[#Totals],[Estimated Raw Incentive Total]], Table_Measure_Caps[[#Totals],[Gross Measure Cost Total]], Value_Project_CAP)/Table_Measure_Caps[[#Totals],[Estimated Raw Incentive Total]], "")</f>
        <v/>
      </c>
      <c r="J123" s="44">
        <f>'Com Kitchen'!H25</f>
        <v>0</v>
      </c>
      <c r="K123" s="12">
        <f>'Com Kitchen'!I25</f>
        <v>0</v>
      </c>
      <c r="L123" s="29" t="str">
        <f t="shared" si="3"/>
        <v>Version 3.1</v>
      </c>
      <c r="M123" s="99">
        <f>'Com Kitchen'!E25</f>
        <v>0</v>
      </c>
      <c r="N123" s="41" t="str">
        <f>'Com Kitchen'!K25</f>
        <v/>
      </c>
    </row>
    <row r="124" spans="1:14" x14ac:dyDescent="0.2">
      <c r="A124" s="13" t="s">
        <v>488</v>
      </c>
      <c r="B124" s="12">
        <f t="shared" si="4"/>
        <v>0</v>
      </c>
      <c r="C124" s="12">
        <f>'Com Kitchen'!B26</f>
        <v>22</v>
      </c>
      <c r="D124" s="12" t="str">
        <f>'Com Kitchen'!C26</f>
        <v/>
      </c>
      <c r="E124" s="12" t="s">
        <v>541</v>
      </c>
      <c r="F124" s="14">
        <f>1</f>
        <v>1</v>
      </c>
      <c r="G124" s="14" t="str">
        <f>'Com Kitchen'!L26</f>
        <v/>
      </c>
      <c r="H124" s="139" t="str">
        <f>'Com Kitchen'!M26</f>
        <v/>
      </c>
      <c r="I124" s="44" t="str">
        <f>IFERROR(N124*MIN(Table_Measure_Caps[[#Totals],[Estimated Raw Incentive Total]], Table_Measure_Caps[[#Totals],[Gross Measure Cost Total]], Value_Project_CAP)/Table_Measure_Caps[[#Totals],[Estimated Raw Incentive Total]], "")</f>
        <v/>
      </c>
      <c r="J124" s="44">
        <f>'Com Kitchen'!H26</f>
        <v>0</v>
      </c>
      <c r="K124" s="12">
        <f>'Com Kitchen'!I26</f>
        <v>0</v>
      </c>
      <c r="L124" s="29" t="str">
        <f t="shared" si="3"/>
        <v>Version 3.1</v>
      </c>
      <c r="M124" s="99">
        <f>'Com Kitchen'!E26</f>
        <v>0</v>
      </c>
      <c r="N124" s="41" t="str">
        <f>'Com Kitchen'!K26</f>
        <v/>
      </c>
    </row>
    <row r="125" spans="1:14" x14ac:dyDescent="0.2">
      <c r="A125" s="13" t="s">
        <v>488</v>
      </c>
      <c r="B125" s="12">
        <f t="shared" si="4"/>
        <v>0</v>
      </c>
      <c r="C125" s="12">
        <f>'Com Kitchen'!B27</f>
        <v>23</v>
      </c>
      <c r="D125" s="12" t="str">
        <f>'Com Kitchen'!C27</f>
        <v/>
      </c>
      <c r="E125" s="12" t="s">
        <v>541</v>
      </c>
      <c r="F125" s="14">
        <f>1</f>
        <v>1</v>
      </c>
      <c r="G125" s="14" t="str">
        <f>'Com Kitchen'!L27</f>
        <v/>
      </c>
      <c r="H125" s="139" t="str">
        <f>'Com Kitchen'!M27</f>
        <v/>
      </c>
      <c r="I125" s="44" t="str">
        <f>IFERROR(N125*MIN(Table_Measure_Caps[[#Totals],[Estimated Raw Incentive Total]], Table_Measure_Caps[[#Totals],[Gross Measure Cost Total]], Value_Project_CAP)/Table_Measure_Caps[[#Totals],[Estimated Raw Incentive Total]], "")</f>
        <v/>
      </c>
      <c r="J125" s="44">
        <f>'Com Kitchen'!H27</f>
        <v>0</v>
      </c>
      <c r="K125" s="12">
        <f>'Com Kitchen'!I27</f>
        <v>0</v>
      </c>
      <c r="L125" s="29" t="str">
        <f t="shared" si="3"/>
        <v>Version 3.1</v>
      </c>
      <c r="M125" s="99">
        <f>'Com Kitchen'!E27</f>
        <v>0</v>
      </c>
      <c r="N125" s="41" t="str">
        <f>'Com Kitchen'!K27</f>
        <v/>
      </c>
    </row>
    <row r="126" spans="1:14" x14ac:dyDescent="0.2">
      <c r="A126" s="13" t="s">
        <v>488</v>
      </c>
      <c r="B126" s="12">
        <f t="shared" si="4"/>
        <v>0</v>
      </c>
      <c r="C126" s="12">
        <f>'Com Kitchen'!B28</f>
        <v>24</v>
      </c>
      <c r="D126" s="12" t="str">
        <f>'Com Kitchen'!C28</f>
        <v/>
      </c>
      <c r="E126" s="12" t="s">
        <v>541</v>
      </c>
      <c r="F126" s="14">
        <f>1</f>
        <v>1</v>
      </c>
      <c r="G126" s="14" t="str">
        <f>'Com Kitchen'!L28</f>
        <v/>
      </c>
      <c r="H126" s="139" t="str">
        <f>'Com Kitchen'!M28</f>
        <v/>
      </c>
      <c r="I126" s="44" t="str">
        <f>IFERROR(N126*MIN(Table_Measure_Caps[[#Totals],[Estimated Raw Incentive Total]], Table_Measure_Caps[[#Totals],[Gross Measure Cost Total]], Value_Project_CAP)/Table_Measure_Caps[[#Totals],[Estimated Raw Incentive Total]], "")</f>
        <v/>
      </c>
      <c r="J126" s="44">
        <f>'Com Kitchen'!H28</f>
        <v>0</v>
      </c>
      <c r="K126" s="12">
        <f>'Com Kitchen'!I28</f>
        <v>0</v>
      </c>
      <c r="L126" s="29" t="str">
        <f t="shared" si="3"/>
        <v>Version 3.1</v>
      </c>
      <c r="M126" s="99">
        <f>'Com Kitchen'!E28</f>
        <v>0</v>
      </c>
      <c r="N126" s="41" t="str">
        <f>'Com Kitchen'!K28</f>
        <v/>
      </c>
    </row>
    <row r="127" spans="1:14" x14ac:dyDescent="0.2">
      <c r="A127" s="13" t="s">
        <v>488</v>
      </c>
      <c r="B127" s="12">
        <f t="shared" si="4"/>
        <v>0</v>
      </c>
      <c r="C127" s="12">
        <f>'Com Kitchen'!B29</f>
        <v>25</v>
      </c>
      <c r="D127" s="12" t="str">
        <f>'Com Kitchen'!C29</f>
        <v/>
      </c>
      <c r="E127" s="12" t="s">
        <v>541</v>
      </c>
      <c r="F127" s="14">
        <f>1</f>
        <v>1</v>
      </c>
      <c r="G127" s="14" t="str">
        <f>'Com Kitchen'!L29</f>
        <v/>
      </c>
      <c r="H127" s="139" t="str">
        <f>'Com Kitchen'!M29</f>
        <v/>
      </c>
      <c r="I127" s="44" t="str">
        <f>IFERROR(N127*MIN(Table_Measure_Caps[[#Totals],[Estimated Raw Incentive Total]], Table_Measure_Caps[[#Totals],[Gross Measure Cost Total]], Value_Project_CAP)/Table_Measure_Caps[[#Totals],[Estimated Raw Incentive Total]], "")</f>
        <v/>
      </c>
      <c r="J127" s="44">
        <f>'Com Kitchen'!H29</f>
        <v>0</v>
      </c>
      <c r="K127" s="12">
        <f>'Com Kitchen'!I29</f>
        <v>0</v>
      </c>
      <c r="L127" s="29" t="str">
        <f t="shared" si="3"/>
        <v>Version 3.1</v>
      </c>
      <c r="M127" s="99">
        <f>'Com Kitchen'!E29</f>
        <v>0</v>
      </c>
      <c r="N127" s="41" t="str">
        <f>'Com Kitchen'!K29</f>
        <v/>
      </c>
    </row>
    <row r="128" spans="1:14" x14ac:dyDescent="0.2">
      <c r="A128" s="13" t="s">
        <v>488</v>
      </c>
      <c r="B128" s="12">
        <f t="shared" si="4"/>
        <v>0</v>
      </c>
      <c r="C128" s="12">
        <f>'Com Kitchen'!B30</f>
        <v>26</v>
      </c>
      <c r="D128" s="12" t="str">
        <f>'Com Kitchen'!C30</f>
        <v/>
      </c>
      <c r="E128" s="12" t="s">
        <v>541</v>
      </c>
      <c r="F128" s="14">
        <f>1</f>
        <v>1</v>
      </c>
      <c r="G128" s="14" t="str">
        <f>'Com Kitchen'!L30</f>
        <v/>
      </c>
      <c r="H128" s="139" t="str">
        <f>'Com Kitchen'!M30</f>
        <v/>
      </c>
      <c r="I128" s="44" t="str">
        <f>IFERROR(N128*MIN(Table_Measure_Caps[[#Totals],[Estimated Raw Incentive Total]], Table_Measure_Caps[[#Totals],[Gross Measure Cost Total]], Value_Project_CAP)/Table_Measure_Caps[[#Totals],[Estimated Raw Incentive Total]], "")</f>
        <v/>
      </c>
      <c r="J128" s="44">
        <f>'Com Kitchen'!H30</f>
        <v>0</v>
      </c>
      <c r="K128" s="12">
        <f>'Com Kitchen'!I30</f>
        <v>0</v>
      </c>
      <c r="L128" s="29" t="str">
        <f t="shared" si="3"/>
        <v>Version 3.1</v>
      </c>
      <c r="M128" s="99">
        <f>'Com Kitchen'!E30</f>
        <v>0</v>
      </c>
      <c r="N128" s="41" t="str">
        <f>'Com Kitchen'!K30</f>
        <v/>
      </c>
    </row>
    <row r="129" spans="1:14" x14ac:dyDescent="0.2">
      <c r="A129" s="13" t="s">
        <v>488</v>
      </c>
      <c r="B129" s="12">
        <f t="shared" si="4"/>
        <v>0</v>
      </c>
      <c r="C129" s="12">
        <f>'Com Kitchen'!B31</f>
        <v>27</v>
      </c>
      <c r="D129" s="12" t="str">
        <f>'Com Kitchen'!C31</f>
        <v/>
      </c>
      <c r="E129" s="12" t="s">
        <v>541</v>
      </c>
      <c r="F129" s="14">
        <f>1</f>
        <v>1</v>
      </c>
      <c r="G129" s="14" t="str">
        <f>'Com Kitchen'!L31</f>
        <v/>
      </c>
      <c r="H129" s="139" t="str">
        <f>'Com Kitchen'!M31</f>
        <v/>
      </c>
      <c r="I129" s="44" t="str">
        <f>IFERROR(N129*MIN(Table_Measure_Caps[[#Totals],[Estimated Raw Incentive Total]], Table_Measure_Caps[[#Totals],[Gross Measure Cost Total]], Value_Project_CAP)/Table_Measure_Caps[[#Totals],[Estimated Raw Incentive Total]], "")</f>
        <v/>
      </c>
      <c r="J129" s="44">
        <f>'Com Kitchen'!H31</f>
        <v>0</v>
      </c>
      <c r="K129" s="12">
        <f>'Com Kitchen'!I31</f>
        <v>0</v>
      </c>
      <c r="L129" s="29" t="str">
        <f t="shared" si="3"/>
        <v>Version 3.1</v>
      </c>
      <c r="M129" s="99">
        <f>'Com Kitchen'!E31</f>
        <v>0</v>
      </c>
      <c r="N129" s="41" t="str">
        <f>'Com Kitchen'!K31</f>
        <v/>
      </c>
    </row>
    <row r="130" spans="1:14" x14ac:dyDescent="0.2">
      <c r="A130" s="13" t="s">
        <v>488</v>
      </c>
      <c r="B130" s="12">
        <f t="shared" si="4"/>
        <v>0</v>
      </c>
      <c r="C130" s="12">
        <f>'Com Kitchen'!B32</f>
        <v>28</v>
      </c>
      <c r="D130" s="12" t="str">
        <f>'Com Kitchen'!C32</f>
        <v/>
      </c>
      <c r="E130" s="12" t="s">
        <v>541</v>
      </c>
      <c r="F130" s="14">
        <f>1</f>
        <v>1</v>
      </c>
      <c r="G130" s="14" t="str">
        <f>'Com Kitchen'!L32</f>
        <v/>
      </c>
      <c r="H130" s="139" t="str">
        <f>'Com Kitchen'!M32</f>
        <v/>
      </c>
      <c r="I130" s="44" t="str">
        <f>IFERROR(N130*MIN(Table_Measure_Caps[[#Totals],[Estimated Raw Incentive Total]], Table_Measure_Caps[[#Totals],[Gross Measure Cost Total]], Value_Project_CAP)/Table_Measure_Caps[[#Totals],[Estimated Raw Incentive Total]], "")</f>
        <v/>
      </c>
      <c r="J130" s="44">
        <f>'Com Kitchen'!H32</f>
        <v>0</v>
      </c>
      <c r="K130" s="12">
        <f>'Com Kitchen'!I32</f>
        <v>0</v>
      </c>
      <c r="L130" s="29" t="str">
        <f t="shared" ref="L130:L193" si="5">Value_Application_Version</f>
        <v>Version 3.1</v>
      </c>
      <c r="M130" s="99">
        <f>'Com Kitchen'!E32</f>
        <v>0</v>
      </c>
      <c r="N130" s="41" t="str">
        <f>'Com Kitchen'!K32</f>
        <v/>
      </c>
    </row>
    <row r="131" spans="1:14" x14ac:dyDescent="0.2">
      <c r="A131" s="13" t="s">
        <v>488</v>
      </c>
      <c r="B131" s="12">
        <f t="shared" si="4"/>
        <v>0</v>
      </c>
      <c r="C131" s="12">
        <f>'Com Kitchen'!B33</f>
        <v>29</v>
      </c>
      <c r="D131" s="12" t="str">
        <f>'Com Kitchen'!C33</f>
        <v/>
      </c>
      <c r="E131" s="12" t="s">
        <v>541</v>
      </c>
      <c r="F131" s="14">
        <f>1</f>
        <v>1</v>
      </c>
      <c r="G131" s="14" t="str">
        <f>'Com Kitchen'!L33</f>
        <v/>
      </c>
      <c r="H131" s="139" t="str">
        <f>'Com Kitchen'!M33</f>
        <v/>
      </c>
      <c r="I131" s="44" t="str">
        <f>IFERROR(N131*MIN(Table_Measure_Caps[[#Totals],[Estimated Raw Incentive Total]], Table_Measure_Caps[[#Totals],[Gross Measure Cost Total]], Value_Project_CAP)/Table_Measure_Caps[[#Totals],[Estimated Raw Incentive Total]], "")</f>
        <v/>
      </c>
      <c r="J131" s="44">
        <f>'Com Kitchen'!H33</f>
        <v>0</v>
      </c>
      <c r="K131" s="12">
        <f>'Com Kitchen'!I33</f>
        <v>0</v>
      </c>
      <c r="L131" s="29" t="str">
        <f t="shared" si="5"/>
        <v>Version 3.1</v>
      </c>
      <c r="M131" s="99">
        <f>'Com Kitchen'!E33</f>
        <v>0</v>
      </c>
      <c r="N131" s="41" t="str">
        <f>'Com Kitchen'!K33</f>
        <v/>
      </c>
    </row>
    <row r="132" spans="1:14" x14ac:dyDescent="0.2">
      <c r="A132" s="13" t="s">
        <v>488</v>
      </c>
      <c r="B132" s="12">
        <f t="shared" si="4"/>
        <v>0</v>
      </c>
      <c r="C132" s="12">
        <f>'Com Kitchen'!B34</f>
        <v>30</v>
      </c>
      <c r="D132" s="12" t="str">
        <f>'Com Kitchen'!C34</f>
        <v/>
      </c>
      <c r="E132" s="12" t="s">
        <v>541</v>
      </c>
      <c r="F132" s="14">
        <f>1</f>
        <v>1</v>
      </c>
      <c r="G132" s="14" t="str">
        <f>'Com Kitchen'!L34</f>
        <v/>
      </c>
      <c r="H132" s="139" t="str">
        <f>'Com Kitchen'!M34</f>
        <v/>
      </c>
      <c r="I132" s="44" t="str">
        <f>IFERROR(N132*MIN(Table_Measure_Caps[[#Totals],[Estimated Raw Incentive Total]], Table_Measure_Caps[[#Totals],[Gross Measure Cost Total]], Value_Project_CAP)/Table_Measure_Caps[[#Totals],[Estimated Raw Incentive Total]], "")</f>
        <v/>
      </c>
      <c r="J132" s="44">
        <f>'Com Kitchen'!H34</f>
        <v>0</v>
      </c>
      <c r="K132" s="12">
        <f>'Com Kitchen'!I34</f>
        <v>0</v>
      </c>
      <c r="L132" s="29" t="str">
        <f t="shared" si="5"/>
        <v>Version 3.1</v>
      </c>
      <c r="M132" s="99">
        <f>'Com Kitchen'!E34</f>
        <v>0</v>
      </c>
      <c r="N132" s="41" t="str">
        <f>'Com Kitchen'!K34</f>
        <v/>
      </c>
    </row>
    <row r="133" spans="1:14" x14ac:dyDescent="0.2">
      <c r="A133" s="116" t="s">
        <v>405</v>
      </c>
      <c r="B133" s="117">
        <f t="shared" ref="B133:B164" si="6">Input_ProjectNumber</f>
        <v>0</v>
      </c>
      <c r="C133" s="117">
        <v>1</v>
      </c>
      <c r="D133" s="117" t="str">
        <f>'Window Film'!C5</f>
        <v/>
      </c>
      <c r="E133" s="117" t="str">
        <f>'Window Film'!F5</f>
        <v/>
      </c>
      <c r="F133" s="117">
        <f>'Window Film'!H5</f>
        <v>0</v>
      </c>
      <c r="G133" s="118" t="str">
        <f>'Window Film'!M5</f>
        <v/>
      </c>
      <c r="H133" s="141" t="str">
        <f>'Window Film'!N5</f>
        <v/>
      </c>
      <c r="I133" s="120" t="str">
        <f>IFERROR(N133*MIN(Table_Measure_Caps[[#Totals],[Estimated Raw Incentive Total]], Table_Measure_Caps[[#Totals],[Gross Measure Cost Total]], Value_Project_CAP)/Table_Measure_Caps[[#Totals],[Estimated Raw Incentive Total]], "")</f>
        <v/>
      </c>
      <c r="J133" s="120">
        <f>'Window Film'!I5</f>
        <v>0</v>
      </c>
      <c r="K133" s="117">
        <f>'Window Film'!J5</f>
        <v>0</v>
      </c>
      <c r="L133" s="121" t="str">
        <f t="shared" si="5"/>
        <v>Version 3.1</v>
      </c>
      <c r="M133" s="122">
        <f>'Window Film'!E5</f>
        <v>0</v>
      </c>
      <c r="N133" s="119" t="str">
        <f>'Window Film'!L5</f>
        <v/>
      </c>
    </row>
    <row r="134" spans="1:14" x14ac:dyDescent="0.2">
      <c r="A134" s="116" t="s">
        <v>405</v>
      </c>
      <c r="B134" s="123">
        <f t="shared" si="6"/>
        <v>0</v>
      </c>
      <c r="C134" s="123">
        <v>2</v>
      </c>
      <c r="D134" s="117" t="str">
        <f>'Window Film'!C6</f>
        <v/>
      </c>
      <c r="E134" s="117" t="str">
        <f>'Window Film'!F6</f>
        <v/>
      </c>
      <c r="F134" s="117">
        <f>'Window Film'!H6</f>
        <v>0</v>
      </c>
      <c r="G134" s="118" t="str">
        <f>'Window Film'!M6</f>
        <v/>
      </c>
      <c r="H134" s="141" t="str">
        <f>'Window Film'!N6</f>
        <v/>
      </c>
      <c r="I134" s="120" t="str">
        <f>IFERROR(N134*MIN(Table_Measure_Caps[[#Totals],[Estimated Raw Incentive Total]], Table_Measure_Caps[[#Totals],[Gross Measure Cost Total]], Value_Project_CAP)/Table_Measure_Caps[[#Totals],[Estimated Raw Incentive Total]], "")</f>
        <v/>
      </c>
      <c r="J134" s="120">
        <f>'Window Film'!I6</f>
        <v>0</v>
      </c>
      <c r="K134" s="117">
        <f>'Window Film'!J6</f>
        <v>0</v>
      </c>
      <c r="L134" s="121" t="str">
        <f t="shared" si="5"/>
        <v>Version 3.1</v>
      </c>
      <c r="M134" s="122">
        <f>'Window Film'!E6</f>
        <v>0</v>
      </c>
      <c r="N134" s="119" t="str">
        <f>'Window Film'!L6</f>
        <v/>
      </c>
    </row>
    <row r="135" spans="1:14" x14ac:dyDescent="0.2">
      <c r="A135" s="116" t="s">
        <v>405</v>
      </c>
      <c r="B135" s="117">
        <f t="shared" si="6"/>
        <v>0</v>
      </c>
      <c r="C135" s="117">
        <v>3</v>
      </c>
      <c r="D135" s="117" t="str">
        <f>'Window Film'!C7</f>
        <v/>
      </c>
      <c r="E135" s="117" t="str">
        <f>'Window Film'!F7</f>
        <v/>
      </c>
      <c r="F135" s="117">
        <f>'Window Film'!H7</f>
        <v>0</v>
      </c>
      <c r="G135" s="118" t="str">
        <f>'Window Film'!M7</f>
        <v/>
      </c>
      <c r="H135" s="141" t="str">
        <f>'Window Film'!N7</f>
        <v/>
      </c>
      <c r="I135" s="120" t="str">
        <f>IFERROR(N135*MIN(Table_Measure_Caps[[#Totals],[Estimated Raw Incentive Total]], Table_Measure_Caps[[#Totals],[Gross Measure Cost Total]], Value_Project_CAP)/Table_Measure_Caps[[#Totals],[Estimated Raw Incentive Total]], "")</f>
        <v/>
      </c>
      <c r="J135" s="120">
        <f>'Window Film'!I7</f>
        <v>0</v>
      </c>
      <c r="K135" s="117">
        <f>'Window Film'!J7</f>
        <v>0</v>
      </c>
      <c r="L135" s="121" t="str">
        <f t="shared" si="5"/>
        <v>Version 3.1</v>
      </c>
      <c r="M135" s="122">
        <f>'Window Film'!E7</f>
        <v>0</v>
      </c>
      <c r="N135" s="119" t="str">
        <f>'Window Film'!L7</f>
        <v/>
      </c>
    </row>
    <row r="136" spans="1:14" x14ac:dyDescent="0.2">
      <c r="A136" s="116" t="s">
        <v>405</v>
      </c>
      <c r="B136" s="123">
        <f t="shared" si="6"/>
        <v>0</v>
      </c>
      <c r="C136" s="123">
        <v>4</v>
      </c>
      <c r="D136" s="117" t="str">
        <f>'Window Film'!C8</f>
        <v/>
      </c>
      <c r="E136" s="117" t="str">
        <f>'Window Film'!F8</f>
        <v/>
      </c>
      <c r="F136" s="117">
        <f>'Window Film'!H8</f>
        <v>0</v>
      </c>
      <c r="G136" s="118" t="str">
        <f>'Window Film'!M8</f>
        <v/>
      </c>
      <c r="H136" s="141" t="str">
        <f>'Window Film'!N8</f>
        <v/>
      </c>
      <c r="I136" s="120" t="str">
        <f>IFERROR(N136*MIN(Table_Measure_Caps[[#Totals],[Estimated Raw Incentive Total]], Table_Measure_Caps[[#Totals],[Gross Measure Cost Total]], Value_Project_CAP)/Table_Measure_Caps[[#Totals],[Estimated Raw Incentive Total]], "")</f>
        <v/>
      </c>
      <c r="J136" s="120">
        <f>'Window Film'!I8</f>
        <v>0</v>
      </c>
      <c r="K136" s="117">
        <f>'Window Film'!J8</f>
        <v>0</v>
      </c>
      <c r="L136" s="121" t="str">
        <f t="shared" si="5"/>
        <v>Version 3.1</v>
      </c>
      <c r="M136" s="122">
        <f>'Window Film'!E8</f>
        <v>0</v>
      </c>
      <c r="N136" s="119" t="str">
        <f>'Window Film'!L8</f>
        <v/>
      </c>
    </row>
    <row r="137" spans="1:14" x14ac:dyDescent="0.2">
      <c r="A137" s="116" t="s">
        <v>405</v>
      </c>
      <c r="B137" s="117">
        <f t="shared" si="6"/>
        <v>0</v>
      </c>
      <c r="C137" s="117">
        <v>5</v>
      </c>
      <c r="D137" s="117" t="str">
        <f>'Window Film'!C9</f>
        <v/>
      </c>
      <c r="E137" s="117" t="str">
        <f>'Window Film'!F9</f>
        <v/>
      </c>
      <c r="F137" s="117">
        <f>'Window Film'!H9</f>
        <v>0</v>
      </c>
      <c r="G137" s="118" t="str">
        <f>'Window Film'!M9</f>
        <v/>
      </c>
      <c r="H137" s="141" t="str">
        <f>'Window Film'!N9</f>
        <v/>
      </c>
      <c r="I137" s="120" t="str">
        <f>IFERROR(N137*MIN(Table_Measure_Caps[[#Totals],[Estimated Raw Incentive Total]], Table_Measure_Caps[[#Totals],[Gross Measure Cost Total]], Value_Project_CAP)/Table_Measure_Caps[[#Totals],[Estimated Raw Incentive Total]], "")</f>
        <v/>
      </c>
      <c r="J137" s="120">
        <f>'Window Film'!I9</f>
        <v>0</v>
      </c>
      <c r="K137" s="117">
        <f>'Window Film'!J9</f>
        <v>0</v>
      </c>
      <c r="L137" s="121" t="str">
        <f t="shared" si="5"/>
        <v>Version 3.1</v>
      </c>
      <c r="M137" s="122">
        <f>'Window Film'!E9</f>
        <v>0</v>
      </c>
      <c r="N137" s="119" t="str">
        <f>'Window Film'!L9</f>
        <v/>
      </c>
    </row>
    <row r="138" spans="1:14" x14ac:dyDescent="0.2">
      <c r="A138" s="116" t="s">
        <v>405</v>
      </c>
      <c r="B138" s="123">
        <f t="shared" si="6"/>
        <v>0</v>
      </c>
      <c r="C138" s="123">
        <v>6</v>
      </c>
      <c r="D138" s="117" t="str">
        <f>'Window Film'!C10</f>
        <v/>
      </c>
      <c r="E138" s="117" t="str">
        <f>'Window Film'!F10</f>
        <v/>
      </c>
      <c r="F138" s="117">
        <f>'Window Film'!H10</f>
        <v>0</v>
      </c>
      <c r="G138" s="118" t="str">
        <f>'Window Film'!M10</f>
        <v/>
      </c>
      <c r="H138" s="141" t="str">
        <f>'Window Film'!N10</f>
        <v/>
      </c>
      <c r="I138" s="120" t="str">
        <f>IFERROR(N138*MIN(Table_Measure_Caps[[#Totals],[Estimated Raw Incentive Total]], Table_Measure_Caps[[#Totals],[Gross Measure Cost Total]], Value_Project_CAP)/Table_Measure_Caps[[#Totals],[Estimated Raw Incentive Total]], "")</f>
        <v/>
      </c>
      <c r="J138" s="120">
        <f>'Window Film'!I10</f>
        <v>0</v>
      </c>
      <c r="K138" s="117">
        <f>'Window Film'!J10</f>
        <v>0</v>
      </c>
      <c r="L138" s="121" t="str">
        <f t="shared" si="5"/>
        <v>Version 3.1</v>
      </c>
      <c r="M138" s="122">
        <f>'Window Film'!E10</f>
        <v>0</v>
      </c>
      <c r="N138" s="119" t="str">
        <f>'Window Film'!L10</f>
        <v/>
      </c>
    </row>
    <row r="139" spans="1:14" x14ac:dyDescent="0.2">
      <c r="A139" s="116" t="s">
        <v>405</v>
      </c>
      <c r="B139" s="117">
        <f t="shared" si="6"/>
        <v>0</v>
      </c>
      <c r="C139" s="117">
        <v>7</v>
      </c>
      <c r="D139" s="117" t="str">
        <f>'Window Film'!C11</f>
        <v/>
      </c>
      <c r="E139" s="117" t="str">
        <f>'Window Film'!F11</f>
        <v/>
      </c>
      <c r="F139" s="117">
        <f>'Window Film'!H11</f>
        <v>0</v>
      </c>
      <c r="G139" s="118" t="str">
        <f>'Window Film'!M11</f>
        <v/>
      </c>
      <c r="H139" s="141" t="str">
        <f>'Window Film'!N11</f>
        <v/>
      </c>
      <c r="I139" s="120" t="str">
        <f>IFERROR(N139*MIN(Table_Measure_Caps[[#Totals],[Estimated Raw Incentive Total]], Table_Measure_Caps[[#Totals],[Gross Measure Cost Total]], Value_Project_CAP)/Table_Measure_Caps[[#Totals],[Estimated Raw Incentive Total]], "")</f>
        <v/>
      </c>
      <c r="J139" s="120">
        <f>'Window Film'!I11</f>
        <v>0</v>
      </c>
      <c r="K139" s="117">
        <f>'Window Film'!J11</f>
        <v>0</v>
      </c>
      <c r="L139" s="121" t="str">
        <f t="shared" si="5"/>
        <v>Version 3.1</v>
      </c>
      <c r="M139" s="122">
        <f>'Window Film'!E11</f>
        <v>0</v>
      </c>
      <c r="N139" s="119" t="str">
        <f>'Window Film'!L11</f>
        <v/>
      </c>
    </row>
    <row r="140" spans="1:14" x14ac:dyDescent="0.2">
      <c r="A140" s="116" t="s">
        <v>405</v>
      </c>
      <c r="B140" s="123">
        <f t="shared" si="6"/>
        <v>0</v>
      </c>
      <c r="C140" s="123">
        <v>8</v>
      </c>
      <c r="D140" s="117" t="str">
        <f>'Window Film'!C12</f>
        <v/>
      </c>
      <c r="E140" s="117" t="str">
        <f>'Window Film'!F12</f>
        <v/>
      </c>
      <c r="F140" s="117">
        <f>'Window Film'!H12</f>
        <v>0</v>
      </c>
      <c r="G140" s="118" t="str">
        <f>'Window Film'!M12</f>
        <v/>
      </c>
      <c r="H140" s="141" t="str">
        <f>'Window Film'!N12</f>
        <v/>
      </c>
      <c r="I140" s="120" t="str">
        <f>IFERROR(N140*MIN(Table_Measure_Caps[[#Totals],[Estimated Raw Incentive Total]], Table_Measure_Caps[[#Totals],[Gross Measure Cost Total]], Value_Project_CAP)/Table_Measure_Caps[[#Totals],[Estimated Raw Incentive Total]], "")</f>
        <v/>
      </c>
      <c r="J140" s="120">
        <f>'Window Film'!I12</f>
        <v>0</v>
      </c>
      <c r="K140" s="117">
        <f>'Window Film'!J12</f>
        <v>0</v>
      </c>
      <c r="L140" s="121" t="str">
        <f t="shared" si="5"/>
        <v>Version 3.1</v>
      </c>
      <c r="M140" s="122">
        <f>'Window Film'!E12</f>
        <v>0</v>
      </c>
      <c r="N140" s="119" t="str">
        <f>'Window Film'!L12</f>
        <v/>
      </c>
    </row>
    <row r="141" spans="1:14" x14ac:dyDescent="0.2">
      <c r="A141" s="116" t="s">
        <v>405</v>
      </c>
      <c r="B141" s="117">
        <f t="shared" si="6"/>
        <v>0</v>
      </c>
      <c r="C141" s="117">
        <v>9</v>
      </c>
      <c r="D141" s="117" t="str">
        <f>'Window Film'!C13</f>
        <v/>
      </c>
      <c r="E141" s="117" t="str">
        <f>'Window Film'!F13</f>
        <v/>
      </c>
      <c r="F141" s="117">
        <f>'Window Film'!H13</f>
        <v>0</v>
      </c>
      <c r="G141" s="118" t="str">
        <f>'Window Film'!M13</f>
        <v/>
      </c>
      <c r="H141" s="141" t="str">
        <f>'Window Film'!N13</f>
        <v/>
      </c>
      <c r="I141" s="120" t="str">
        <f>IFERROR(N141*MIN(Table_Measure_Caps[[#Totals],[Estimated Raw Incentive Total]], Table_Measure_Caps[[#Totals],[Gross Measure Cost Total]], Value_Project_CAP)/Table_Measure_Caps[[#Totals],[Estimated Raw Incentive Total]], "")</f>
        <v/>
      </c>
      <c r="J141" s="120">
        <f>'Window Film'!I13</f>
        <v>0</v>
      </c>
      <c r="K141" s="117">
        <f>'Window Film'!J13</f>
        <v>0</v>
      </c>
      <c r="L141" s="121" t="str">
        <f t="shared" si="5"/>
        <v>Version 3.1</v>
      </c>
      <c r="M141" s="122">
        <f>'Window Film'!E13</f>
        <v>0</v>
      </c>
      <c r="N141" s="119" t="str">
        <f>'Window Film'!L13</f>
        <v/>
      </c>
    </row>
    <row r="142" spans="1:14" x14ac:dyDescent="0.2">
      <c r="A142" s="116" t="s">
        <v>405</v>
      </c>
      <c r="B142" s="123">
        <f t="shared" si="6"/>
        <v>0</v>
      </c>
      <c r="C142" s="123">
        <v>10</v>
      </c>
      <c r="D142" s="117" t="str">
        <f>'Window Film'!C14</f>
        <v/>
      </c>
      <c r="E142" s="117" t="str">
        <f>'Window Film'!F14</f>
        <v/>
      </c>
      <c r="F142" s="117">
        <f>'Window Film'!H14</f>
        <v>0</v>
      </c>
      <c r="G142" s="118" t="str">
        <f>'Window Film'!M14</f>
        <v/>
      </c>
      <c r="H142" s="141" t="str">
        <f>'Window Film'!N14</f>
        <v/>
      </c>
      <c r="I142" s="120" t="str">
        <f>IFERROR(N142*MIN(Table_Measure_Caps[[#Totals],[Estimated Raw Incentive Total]], Table_Measure_Caps[[#Totals],[Gross Measure Cost Total]], Value_Project_CAP)/Table_Measure_Caps[[#Totals],[Estimated Raw Incentive Total]], "")</f>
        <v/>
      </c>
      <c r="J142" s="120">
        <f>'Window Film'!I14</f>
        <v>0</v>
      </c>
      <c r="K142" s="117">
        <f>'Window Film'!J14</f>
        <v>0</v>
      </c>
      <c r="L142" s="121" t="str">
        <f t="shared" si="5"/>
        <v>Version 3.1</v>
      </c>
      <c r="M142" s="122">
        <f>'Window Film'!E14</f>
        <v>0</v>
      </c>
      <c r="N142" s="119" t="str">
        <f>'Window Film'!L14</f>
        <v/>
      </c>
    </row>
    <row r="143" spans="1:14" x14ac:dyDescent="0.2">
      <c r="A143" s="116" t="s">
        <v>405</v>
      </c>
      <c r="B143" s="117">
        <f t="shared" si="6"/>
        <v>0</v>
      </c>
      <c r="C143" s="117">
        <v>11</v>
      </c>
      <c r="D143" s="117" t="str">
        <f>'Window Film'!C15</f>
        <v/>
      </c>
      <c r="E143" s="117" t="str">
        <f>'Window Film'!F15</f>
        <v/>
      </c>
      <c r="F143" s="117">
        <f>'Window Film'!H15</f>
        <v>0</v>
      </c>
      <c r="G143" s="118" t="str">
        <f>'Window Film'!M15</f>
        <v/>
      </c>
      <c r="H143" s="141" t="str">
        <f>'Window Film'!N15</f>
        <v/>
      </c>
      <c r="I143" s="120" t="str">
        <f>IFERROR(N143*MIN(Table_Measure_Caps[[#Totals],[Estimated Raw Incentive Total]], Table_Measure_Caps[[#Totals],[Gross Measure Cost Total]], Value_Project_CAP)/Table_Measure_Caps[[#Totals],[Estimated Raw Incentive Total]], "")</f>
        <v/>
      </c>
      <c r="J143" s="120">
        <f>'Window Film'!I15</f>
        <v>0</v>
      </c>
      <c r="K143" s="117">
        <f>'Window Film'!J15</f>
        <v>0</v>
      </c>
      <c r="L143" s="121" t="str">
        <f t="shared" si="5"/>
        <v>Version 3.1</v>
      </c>
      <c r="M143" s="122">
        <f>'Window Film'!E15</f>
        <v>0</v>
      </c>
      <c r="N143" s="119" t="str">
        <f>'Window Film'!L15</f>
        <v/>
      </c>
    </row>
    <row r="144" spans="1:14" x14ac:dyDescent="0.2">
      <c r="A144" s="116" t="s">
        <v>405</v>
      </c>
      <c r="B144" s="123">
        <f t="shared" si="6"/>
        <v>0</v>
      </c>
      <c r="C144" s="123">
        <v>12</v>
      </c>
      <c r="D144" s="117" t="str">
        <f>'Window Film'!C16</f>
        <v/>
      </c>
      <c r="E144" s="117" t="str">
        <f>'Window Film'!F16</f>
        <v/>
      </c>
      <c r="F144" s="117">
        <f>'Window Film'!H16</f>
        <v>0</v>
      </c>
      <c r="G144" s="118" t="str">
        <f>'Window Film'!M16</f>
        <v/>
      </c>
      <c r="H144" s="141" t="str">
        <f>'Window Film'!N16</f>
        <v/>
      </c>
      <c r="I144" s="120" t="str">
        <f>IFERROR(N144*MIN(Table_Measure_Caps[[#Totals],[Estimated Raw Incentive Total]], Table_Measure_Caps[[#Totals],[Gross Measure Cost Total]], Value_Project_CAP)/Table_Measure_Caps[[#Totals],[Estimated Raw Incentive Total]], "")</f>
        <v/>
      </c>
      <c r="J144" s="120">
        <f>'Window Film'!I16</f>
        <v>0</v>
      </c>
      <c r="K144" s="117">
        <f>'Window Film'!J16</f>
        <v>0</v>
      </c>
      <c r="L144" s="121" t="str">
        <f t="shared" si="5"/>
        <v>Version 3.1</v>
      </c>
      <c r="M144" s="122">
        <f>'Window Film'!E16</f>
        <v>0</v>
      </c>
      <c r="N144" s="119" t="str">
        <f>'Window Film'!L16</f>
        <v/>
      </c>
    </row>
    <row r="145" spans="1:14" x14ac:dyDescent="0.2">
      <c r="A145" s="116" t="s">
        <v>405</v>
      </c>
      <c r="B145" s="117">
        <f t="shared" si="6"/>
        <v>0</v>
      </c>
      <c r="C145" s="117">
        <v>13</v>
      </c>
      <c r="D145" s="117" t="str">
        <f>'Window Film'!C17</f>
        <v/>
      </c>
      <c r="E145" s="117" t="str">
        <f>'Window Film'!F17</f>
        <v/>
      </c>
      <c r="F145" s="117">
        <f>'Window Film'!H17</f>
        <v>0</v>
      </c>
      <c r="G145" s="118" t="str">
        <f>'Window Film'!M17</f>
        <v/>
      </c>
      <c r="H145" s="141" t="str">
        <f>'Window Film'!N17</f>
        <v/>
      </c>
      <c r="I145" s="120" t="str">
        <f>IFERROR(N145*MIN(Table_Measure_Caps[[#Totals],[Estimated Raw Incentive Total]], Table_Measure_Caps[[#Totals],[Gross Measure Cost Total]], Value_Project_CAP)/Table_Measure_Caps[[#Totals],[Estimated Raw Incentive Total]], "")</f>
        <v/>
      </c>
      <c r="J145" s="120">
        <f>'Window Film'!I17</f>
        <v>0</v>
      </c>
      <c r="K145" s="117">
        <f>'Window Film'!J17</f>
        <v>0</v>
      </c>
      <c r="L145" s="121" t="str">
        <f t="shared" si="5"/>
        <v>Version 3.1</v>
      </c>
      <c r="M145" s="122">
        <f>'Window Film'!E17</f>
        <v>0</v>
      </c>
      <c r="N145" s="119" t="str">
        <f>'Window Film'!L17</f>
        <v/>
      </c>
    </row>
    <row r="146" spans="1:14" x14ac:dyDescent="0.2">
      <c r="A146" s="116" t="s">
        <v>405</v>
      </c>
      <c r="B146" s="123">
        <f t="shared" si="6"/>
        <v>0</v>
      </c>
      <c r="C146" s="123">
        <v>14</v>
      </c>
      <c r="D146" s="117" t="str">
        <f>'Window Film'!C18</f>
        <v/>
      </c>
      <c r="E146" s="117" t="str">
        <f>'Window Film'!F18</f>
        <v/>
      </c>
      <c r="F146" s="117">
        <f>'Window Film'!H18</f>
        <v>0</v>
      </c>
      <c r="G146" s="118" t="str">
        <f>'Window Film'!M18</f>
        <v/>
      </c>
      <c r="H146" s="141" t="str">
        <f>'Window Film'!N18</f>
        <v/>
      </c>
      <c r="I146" s="120" t="str">
        <f>IFERROR(N146*MIN(Table_Measure_Caps[[#Totals],[Estimated Raw Incentive Total]], Table_Measure_Caps[[#Totals],[Gross Measure Cost Total]], Value_Project_CAP)/Table_Measure_Caps[[#Totals],[Estimated Raw Incentive Total]], "")</f>
        <v/>
      </c>
      <c r="J146" s="120">
        <f>'Window Film'!I18</f>
        <v>0</v>
      </c>
      <c r="K146" s="117">
        <f>'Window Film'!J18</f>
        <v>0</v>
      </c>
      <c r="L146" s="121" t="str">
        <f t="shared" si="5"/>
        <v>Version 3.1</v>
      </c>
      <c r="M146" s="122">
        <f>'Window Film'!E18</f>
        <v>0</v>
      </c>
      <c r="N146" s="119" t="str">
        <f>'Window Film'!L18</f>
        <v/>
      </c>
    </row>
    <row r="147" spans="1:14" x14ac:dyDescent="0.2">
      <c r="A147" s="116" t="s">
        <v>405</v>
      </c>
      <c r="B147" s="117">
        <f t="shared" si="6"/>
        <v>0</v>
      </c>
      <c r="C147" s="117">
        <v>15</v>
      </c>
      <c r="D147" s="117" t="str">
        <f>'Window Film'!C19</f>
        <v/>
      </c>
      <c r="E147" s="117" t="str">
        <f>'Window Film'!F19</f>
        <v/>
      </c>
      <c r="F147" s="117">
        <f>'Window Film'!H19</f>
        <v>0</v>
      </c>
      <c r="G147" s="118" t="str">
        <f>'Window Film'!M19</f>
        <v/>
      </c>
      <c r="H147" s="141" t="str">
        <f>'Window Film'!N19</f>
        <v/>
      </c>
      <c r="I147" s="120" t="str">
        <f>IFERROR(N147*MIN(Table_Measure_Caps[[#Totals],[Estimated Raw Incentive Total]], Table_Measure_Caps[[#Totals],[Gross Measure Cost Total]], Value_Project_CAP)/Table_Measure_Caps[[#Totals],[Estimated Raw Incentive Total]], "")</f>
        <v/>
      </c>
      <c r="J147" s="120">
        <f>'Window Film'!I19</f>
        <v>0</v>
      </c>
      <c r="K147" s="117">
        <f>'Window Film'!J19</f>
        <v>0</v>
      </c>
      <c r="L147" s="121" t="str">
        <f t="shared" si="5"/>
        <v>Version 3.1</v>
      </c>
      <c r="M147" s="122">
        <f>'Window Film'!E19</f>
        <v>0</v>
      </c>
      <c r="N147" s="119" t="str">
        <f>'Window Film'!L19</f>
        <v/>
      </c>
    </row>
    <row r="148" spans="1:14" x14ac:dyDescent="0.2">
      <c r="A148" s="116" t="s">
        <v>405</v>
      </c>
      <c r="B148" s="123">
        <f t="shared" si="6"/>
        <v>0</v>
      </c>
      <c r="C148" s="123">
        <v>16</v>
      </c>
      <c r="D148" s="117" t="str">
        <f>'Window Film'!C20</f>
        <v/>
      </c>
      <c r="E148" s="117" t="str">
        <f>'Window Film'!F20</f>
        <v/>
      </c>
      <c r="F148" s="117">
        <f>'Window Film'!H20</f>
        <v>0</v>
      </c>
      <c r="G148" s="118" t="str">
        <f>'Window Film'!M20</f>
        <v/>
      </c>
      <c r="H148" s="141" t="str">
        <f>'Window Film'!N20</f>
        <v/>
      </c>
      <c r="I148" s="120" t="str">
        <f>IFERROR(N148*MIN(Table_Measure_Caps[[#Totals],[Estimated Raw Incentive Total]], Table_Measure_Caps[[#Totals],[Gross Measure Cost Total]], Value_Project_CAP)/Table_Measure_Caps[[#Totals],[Estimated Raw Incentive Total]], "")</f>
        <v/>
      </c>
      <c r="J148" s="120">
        <f>'Window Film'!I20</f>
        <v>0</v>
      </c>
      <c r="K148" s="117">
        <f>'Window Film'!J20</f>
        <v>0</v>
      </c>
      <c r="L148" s="121" t="str">
        <f t="shared" si="5"/>
        <v>Version 3.1</v>
      </c>
      <c r="M148" s="122">
        <f>'Window Film'!E20</f>
        <v>0</v>
      </c>
      <c r="N148" s="119" t="str">
        <f>'Window Film'!L20</f>
        <v/>
      </c>
    </row>
    <row r="149" spans="1:14" x14ac:dyDescent="0.2">
      <c r="A149" s="116" t="s">
        <v>405</v>
      </c>
      <c r="B149" s="117">
        <f t="shared" si="6"/>
        <v>0</v>
      </c>
      <c r="C149" s="117">
        <v>17</v>
      </c>
      <c r="D149" s="117" t="str">
        <f>'Window Film'!C21</f>
        <v/>
      </c>
      <c r="E149" s="117" t="str">
        <f>'Window Film'!F21</f>
        <v/>
      </c>
      <c r="F149" s="117">
        <f>'Window Film'!H21</f>
        <v>0</v>
      </c>
      <c r="G149" s="118" t="str">
        <f>'Window Film'!M21</f>
        <v/>
      </c>
      <c r="H149" s="141" t="str">
        <f>'Window Film'!N21</f>
        <v/>
      </c>
      <c r="I149" s="120" t="str">
        <f>IFERROR(N149*MIN(Table_Measure_Caps[[#Totals],[Estimated Raw Incentive Total]], Table_Measure_Caps[[#Totals],[Gross Measure Cost Total]], Value_Project_CAP)/Table_Measure_Caps[[#Totals],[Estimated Raw Incentive Total]], "")</f>
        <v/>
      </c>
      <c r="J149" s="120">
        <f>'Window Film'!I21</f>
        <v>0</v>
      </c>
      <c r="K149" s="117">
        <f>'Window Film'!J21</f>
        <v>0</v>
      </c>
      <c r="L149" s="121" t="str">
        <f t="shared" si="5"/>
        <v>Version 3.1</v>
      </c>
      <c r="M149" s="122">
        <f>'Window Film'!E21</f>
        <v>0</v>
      </c>
      <c r="N149" s="119" t="str">
        <f>'Window Film'!L21</f>
        <v/>
      </c>
    </row>
    <row r="150" spans="1:14" x14ac:dyDescent="0.2">
      <c r="A150" s="116" t="s">
        <v>405</v>
      </c>
      <c r="B150" s="123">
        <f t="shared" si="6"/>
        <v>0</v>
      </c>
      <c r="C150" s="123">
        <v>18</v>
      </c>
      <c r="D150" s="117" t="str">
        <f>'Window Film'!C22</f>
        <v/>
      </c>
      <c r="E150" s="117" t="str">
        <f>'Window Film'!F22</f>
        <v/>
      </c>
      <c r="F150" s="117">
        <f>'Window Film'!H22</f>
        <v>0</v>
      </c>
      <c r="G150" s="118" t="str">
        <f>'Window Film'!M22</f>
        <v/>
      </c>
      <c r="H150" s="141" t="str">
        <f>'Window Film'!N22</f>
        <v/>
      </c>
      <c r="I150" s="120" t="str">
        <f>IFERROR(N150*MIN(Table_Measure_Caps[[#Totals],[Estimated Raw Incentive Total]], Table_Measure_Caps[[#Totals],[Gross Measure Cost Total]], Value_Project_CAP)/Table_Measure_Caps[[#Totals],[Estimated Raw Incentive Total]], "")</f>
        <v/>
      </c>
      <c r="J150" s="120">
        <f>'Window Film'!I22</f>
        <v>0</v>
      </c>
      <c r="K150" s="117">
        <f>'Window Film'!J22</f>
        <v>0</v>
      </c>
      <c r="L150" s="121" t="str">
        <f t="shared" si="5"/>
        <v>Version 3.1</v>
      </c>
      <c r="M150" s="122">
        <f>'Window Film'!E22</f>
        <v>0</v>
      </c>
      <c r="N150" s="119" t="str">
        <f>'Window Film'!L22</f>
        <v/>
      </c>
    </row>
    <row r="151" spans="1:14" x14ac:dyDescent="0.2">
      <c r="A151" s="116" t="s">
        <v>405</v>
      </c>
      <c r="B151" s="117">
        <f t="shared" si="6"/>
        <v>0</v>
      </c>
      <c r="C151" s="117">
        <v>19</v>
      </c>
      <c r="D151" s="117" t="str">
        <f>'Window Film'!C23</f>
        <v/>
      </c>
      <c r="E151" s="117" t="str">
        <f>'Window Film'!F23</f>
        <v/>
      </c>
      <c r="F151" s="117">
        <f>'Window Film'!H23</f>
        <v>0</v>
      </c>
      <c r="G151" s="118" t="str">
        <f>'Window Film'!M23</f>
        <v/>
      </c>
      <c r="H151" s="141" t="str">
        <f>'Window Film'!N23</f>
        <v/>
      </c>
      <c r="I151" s="120" t="str">
        <f>IFERROR(N151*MIN(Table_Measure_Caps[[#Totals],[Estimated Raw Incentive Total]], Table_Measure_Caps[[#Totals],[Gross Measure Cost Total]], Value_Project_CAP)/Table_Measure_Caps[[#Totals],[Estimated Raw Incentive Total]], "")</f>
        <v/>
      </c>
      <c r="J151" s="120">
        <f>'Window Film'!I23</f>
        <v>0</v>
      </c>
      <c r="K151" s="117">
        <f>'Window Film'!J23</f>
        <v>0</v>
      </c>
      <c r="L151" s="121" t="str">
        <f t="shared" si="5"/>
        <v>Version 3.1</v>
      </c>
      <c r="M151" s="122">
        <f>'Window Film'!E23</f>
        <v>0</v>
      </c>
      <c r="N151" s="119" t="str">
        <f>'Window Film'!L23</f>
        <v/>
      </c>
    </row>
    <row r="152" spans="1:14" x14ac:dyDescent="0.2">
      <c r="A152" s="116" t="s">
        <v>405</v>
      </c>
      <c r="B152" s="123">
        <f t="shared" si="6"/>
        <v>0</v>
      </c>
      <c r="C152" s="123">
        <v>20</v>
      </c>
      <c r="D152" s="117" t="str">
        <f>'Window Film'!C24</f>
        <v/>
      </c>
      <c r="E152" s="117" t="str">
        <f>'Window Film'!F24</f>
        <v/>
      </c>
      <c r="F152" s="117">
        <f>'Window Film'!H24</f>
        <v>0</v>
      </c>
      <c r="G152" s="118" t="str">
        <f>'Window Film'!M24</f>
        <v/>
      </c>
      <c r="H152" s="141" t="str">
        <f>'Window Film'!N24</f>
        <v/>
      </c>
      <c r="I152" s="120" t="str">
        <f>IFERROR(N152*MIN(Table_Measure_Caps[[#Totals],[Estimated Raw Incentive Total]], Table_Measure_Caps[[#Totals],[Gross Measure Cost Total]], Value_Project_CAP)/Table_Measure_Caps[[#Totals],[Estimated Raw Incentive Total]], "")</f>
        <v/>
      </c>
      <c r="J152" s="120">
        <f>'Window Film'!I24</f>
        <v>0</v>
      </c>
      <c r="K152" s="117">
        <f>'Window Film'!J24</f>
        <v>0</v>
      </c>
      <c r="L152" s="121" t="str">
        <f t="shared" si="5"/>
        <v>Version 3.1</v>
      </c>
      <c r="M152" s="122">
        <f>'Window Film'!E24</f>
        <v>0</v>
      </c>
      <c r="N152" s="119" t="str">
        <f>'Window Film'!L24</f>
        <v/>
      </c>
    </row>
    <row r="153" spans="1:14" x14ac:dyDescent="0.2">
      <c r="A153" s="116" t="s">
        <v>405</v>
      </c>
      <c r="B153" s="117">
        <f t="shared" si="6"/>
        <v>0</v>
      </c>
      <c r="C153" s="117">
        <v>21</v>
      </c>
      <c r="D153" s="117" t="str">
        <f>'Window Film'!C25</f>
        <v/>
      </c>
      <c r="E153" s="117" t="str">
        <f>'Window Film'!F25</f>
        <v/>
      </c>
      <c r="F153" s="117">
        <f>'Window Film'!H25</f>
        <v>0</v>
      </c>
      <c r="G153" s="118" t="str">
        <f>'Window Film'!M25</f>
        <v/>
      </c>
      <c r="H153" s="141" t="str">
        <f>'Window Film'!N25</f>
        <v/>
      </c>
      <c r="I153" s="120" t="str">
        <f>IFERROR(N153*MIN(Table_Measure_Caps[[#Totals],[Estimated Raw Incentive Total]], Table_Measure_Caps[[#Totals],[Gross Measure Cost Total]], Value_Project_CAP)/Table_Measure_Caps[[#Totals],[Estimated Raw Incentive Total]], "")</f>
        <v/>
      </c>
      <c r="J153" s="120">
        <f>'Window Film'!I25</f>
        <v>0</v>
      </c>
      <c r="K153" s="117">
        <f>'Window Film'!J25</f>
        <v>0</v>
      </c>
      <c r="L153" s="121" t="str">
        <f t="shared" si="5"/>
        <v>Version 3.1</v>
      </c>
      <c r="M153" s="122">
        <f>'Window Film'!E25</f>
        <v>0</v>
      </c>
      <c r="N153" s="119" t="str">
        <f>'Window Film'!L25</f>
        <v/>
      </c>
    </row>
    <row r="154" spans="1:14" x14ac:dyDescent="0.2">
      <c r="A154" s="116" t="s">
        <v>405</v>
      </c>
      <c r="B154" s="123">
        <f t="shared" si="6"/>
        <v>0</v>
      </c>
      <c r="C154" s="123">
        <v>22</v>
      </c>
      <c r="D154" s="117" t="str">
        <f>'Window Film'!C26</f>
        <v/>
      </c>
      <c r="E154" s="117" t="str">
        <f>'Window Film'!F26</f>
        <v/>
      </c>
      <c r="F154" s="117">
        <f>'Window Film'!H26</f>
        <v>0</v>
      </c>
      <c r="G154" s="118" t="str">
        <f>'Window Film'!M26</f>
        <v/>
      </c>
      <c r="H154" s="141" t="str">
        <f>'Window Film'!N26</f>
        <v/>
      </c>
      <c r="I154" s="120" t="str">
        <f>IFERROR(N154*MIN(Table_Measure_Caps[[#Totals],[Estimated Raw Incentive Total]], Table_Measure_Caps[[#Totals],[Gross Measure Cost Total]], Value_Project_CAP)/Table_Measure_Caps[[#Totals],[Estimated Raw Incentive Total]], "")</f>
        <v/>
      </c>
      <c r="J154" s="120">
        <f>'Window Film'!I26</f>
        <v>0</v>
      </c>
      <c r="K154" s="117">
        <f>'Window Film'!J26</f>
        <v>0</v>
      </c>
      <c r="L154" s="121" t="str">
        <f t="shared" si="5"/>
        <v>Version 3.1</v>
      </c>
      <c r="M154" s="122">
        <f>'Window Film'!E26</f>
        <v>0</v>
      </c>
      <c r="N154" s="119" t="str">
        <f>'Window Film'!L26</f>
        <v/>
      </c>
    </row>
    <row r="155" spans="1:14" x14ac:dyDescent="0.2">
      <c r="A155" s="116" t="s">
        <v>405</v>
      </c>
      <c r="B155" s="117">
        <f t="shared" si="6"/>
        <v>0</v>
      </c>
      <c r="C155" s="117">
        <v>23</v>
      </c>
      <c r="D155" s="117" t="str">
        <f>'Window Film'!C27</f>
        <v/>
      </c>
      <c r="E155" s="117" t="str">
        <f>'Window Film'!F27</f>
        <v/>
      </c>
      <c r="F155" s="117">
        <f>'Window Film'!H27</f>
        <v>0</v>
      </c>
      <c r="G155" s="118" t="str">
        <f>'Window Film'!M27</f>
        <v/>
      </c>
      <c r="H155" s="141" t="str">
        <f>'Window Film'!N27</f>
        <v/>
      </c>
      <c r="I155" s="120" t="str">
        <f>IFERROR(N155*MIN(Table_Measure_Caps[[#Totals],[Estimated Raw Incentive Total]], Table_Measure_Caps[[#Totals],[Gross Measure Cost Total]], Value_Project_CAP)/Table_Measure_Caps[[#Totals],[Estimated Raw Incentive Total]], "")</f>
        <v/>
      </c>
      <c r="J155" s="120">
        <f>'Window Film'!I27</f>
        <v>0</v>
      </c>
      <c r="K155" s="117">
        <f>'Window Film'!J27</f>
        <v>0</v>
      </c>
      <c r="L155" s="121" t="str">
        <f t="shared" si="5"/>
        <v>Version 3.1</v>
      </c>
      <c r="M155" s="122">
        <f>'Window Film'!E27</f>
        <v>0</v>
      </c>
      <c r="N155" s="119" t="str">
        <f>'Window Film'!L27</f>
        <v/>
      </c>
    </row>
    <row r="156" spans="1:14" x14ac:dyDescent="0.2">
      <c r="A156" s="116" t="s">
        <v>405</v>
      </c>
      <c r="B156" s="123">
        <f t="shared" si="6"/>
        <v>0</v>
      </c>
      <c r="C156" s="123">
        <v>24</v>
      </c>
      <c r="D156" s="117" t="str">
        <f>'Window Film'!C28</f>
        <v/>
      </c>
      <c r="E156" s="117" t="str">
        <f>'Window Film'!F28</f>
        <v/>
      </c>
      <c r="F156" s="117">
        <f>'Window Film'!H28</f>
        <v>0</v>
      </c>
      <c r="G156" s="118" t="str">
        <f>'Window Film'!M28</f>
        <v/>
      </c>
      <c r="H156" s="141" t="str">
        <f>'Window Film'!N28</f>
        <v/>
      </c>
      <c r="I156" s="120" t="str">
        <f>IFERROR(N156*MIN(Table_Measure_Caps[[#Totals],[Estimated Raw Incentive Total]], Table_Measure_Caps[[#Totals],[Gross Measure Cost Total]], Value_Project_CAP)/Table_Measure_Caps[[#Totals],[Estimated Raw Incentive Total]], "")</f>
        <v/>
      </c>
      <c r="J156" s="120">
        <f>'Window Film'!I28</f>
        <v>0</v>
      </c>
      <c r="K156" s="117">
        <f>'Window Film'!J28</f>
        <v>0</v>
      </c>
      <c r="L156" s="121" t="str">
        <f t="shared" si="5"/>
        <v>Version 3.1</v>
      </c>
      <c r="M156" s="122">
        <f>'Window Film'!E28</f>
        <v>0</v>
      </c>
      <c r="N156" s="119" t="str">
        <f>'Window Film'!L28</f>
        <v/>
      </c>
    </row>
    <row r="157" spans="1:14" x14ac:dyDescent="0.2">
      <c r="A157" s="116" t="s">
        <v>405</v>
      </c>
      <c r="B157" s="117">
        <f t="shared" si="6"/>
        <v>0</v>
      </c>
      <c r="C157" s="117">
        <v>25</v>
      </c>
      <c r="D157" s="117" t="str">
        <f>'Window Film'!C29</f>
        <v/>
      </c>
      <c r="E157" s="117" t="str">
        <f>'Window Film'!F29</f>
        <v/>
      </c>
      <c r="F157" s="117">
        <f>'Window Film'!H29</f>
        <v>0</v>
      </c>
      <c r="G157" s="118" t="str">
        <f>'Window Film'!M29</f>
        <v/>
      </c>
      <c r="H157" s="141" t="str">
        <f>'Window Film'!N29</f>
        <v/>
      </c>
      <c r="I157" s="120" t="str">
        <f>IFERROR(N157*MIN(Table_Measure_Caps[[#Totals],[Estimated Raw Incentive Total]], Table_Measure_Caps[[#Totals],[Gross Measure Cost Total]], Value_Project_CAP)/Table_Measure_Caps[[#Totals],[Estimated Raw Incentive Total]], "")</f>
        <v/>
      </c>
      <c r="J157" s="120">
        <f>'Window Film'!I29</f>
        <v>0</v>
      </c>
      <c r="K157" s="117">
        <f>'Window Film'!J29</f>
        <v>0</v>
      </c>
      <c r="L157" s="121" t="str">
        <f t="shared" si="5"/>
        <v>Version 3.1</v>
      </c>
      <c r="M157" s="122">
        <f>'Window Film'!E29</f>
        <v>0</v>
      </c>
      <c r="N157" s="119" t="str">
        <f>'Window Film'!L29</f>
        <v/>
      </c>
    </row>
    <row r="158" spans="1:14" x14ac:dyDescent="0.2">
      <c r="A158" s="116" t="s">
        <v>405</v>
      </c>
      <c r="B158" s="123">
        <f t="shared" si="6"/>
        <v>0</v>
      </c>
      <c r="C158" s="123">
        <v>26</v>
      </c>
      <c r="D158" s="117" t="str">
        <f>'Window Film'!C30</f>
        <v/>
      </c>
      <c r="E158" s="117" t="str">
        <f>'Window Film'!F30</f>
        <v/>
      </c>
      <c r="F158" s="117">
        <f>'Window Film'!H30</f>
        <v>0</v>
      </c>
      <c r="G158" s="118" t="str">
        <f>'Window Film'!M30</f>
        <v/>
      </c>
      <c r="H158" s="141" t="str">
        <f>'Window Film'!N30</f>
        <v/>
      </c>
      <c r="I158" s="120" t="str">
        <f>IFERROR(N158*MIN(Table_Measure_Caps[[#Totals],[Estimated Raw Incentive Total]], Table_Measure_Caps[[#Totals],[Gross Measure Cost Total]], Value_Project_CAP)/Table_Measure_Caps[[#Totals],[Estimated Raw Incentive Total]], "")</f>
        <v/>
      </c>
      <c r="J158" s="120">
        <f>'Window Film'!I30</f>
        <v>0</v>
      </c>
      <c r="K158" s="117">
        <f>'Window Film'!J30</f>
        <v>0</v>
      </c>
      <c r="L158" s="121" t="str">
        <f t="shared" si="5"/>
        <v>Version 3.1</v>
      </c>
      <c r="M158" s="122">
        <f>'Window Film'!E30</f>
        <v>0</v>
      </c>
      <c r="N158" s="119" t="str">
        <f>'Window Film'!L30</f>
        <v/>
      </c>
    </row>
    <row r="159" spans="1:14" x14ac:dyDescent="0.2">
      <c r="A159" s="116" t="s">
        <v>405</v>
      </c>
      <c r="B159" s="117">
        <f t="shared" si="6"/>
        <v>0</v>
      </c>
      <c r="C159" s="117">
        <v>27</v>
      </c>
      <c r="D159" s="117" t="str">
        <f>'Window Film'!C31</f>
        <v/>
      </c>
      <c r="E159" s="117" t="str">
        <f>'Window Film'!F31</f>
        <v/>
      </c>
      <c r="F159" s="117">
        <f>'Window Film'!H31</f>
        <v>0</v>
      </c>
      <c r="G159" s="118" t="str">
        <f>'Window Film'!M31</f>
        <v/>
      </c>
      <c r="H159" s="141" t="str">
        <f>'Window Film'!N31</f>
        <v/>
      </c>
      <c r="I159" s="120" t="str">
        <f>IFERROR(N159*MIN(Table_Measure_Caps[[#Totals],[Estimated Raw Incentive Total]], Table_Measure_Caps[[#Totals],[Gross Measure Cost Total]], Value_Project_CAP)/Table_Measure_Caps[[#Totals],[Estimated Raw Incentive Total]], "")</f>
        <v/>
      </c>
      <c r="J159" s="120">
        <f>'Window Film'!I31</f>
        <v>0</v>
      </c>
      <c r="K159" s="117">
        <f>'Window Film'!J31</f>
        <v>0</v>
      </c>
      <c r="L159" s="121" t="str">
        <f t="shared" si="5"/>
        <v>Version 3.1</v>
      </c>
      <c r="M159" s="122">
        <f>'Window Film'!E31</f>
        <v>0</v>
      </c>
      <c r="N159" s="119" t="str">
        <f>'Window Film'!L31</f>
        <v/>
      </c>
    </row>
    <row r="160" spans="1:14" x14ac:dyDescent="0.2">
      <c r="A160" s="116" t="s">
        <v>405</v>
      </c>
      <c r="B160" s="123">
        <f t="shared" si="6"/>
        <v>0</v>
      </c>
      <c r="C160" s="123">
        <v>28</v>
      </c>
      <c r="D160" s="117" t="str">
        <f>'Window Film'!C32</f>
        <v/>
      </c>
      <c r="E160" s="117" t="str">
        <f>'Window Film'!F32</f>
        <v/>
      </c>
      <c r="F160" s="117">
        <f>'Window Film'!H32</f>
        <v>0</v>
      </c>
      <c r="G160" s="118" t="str">
        <f>'Window Film'!M32</f>
        <v/>
      </c>
      <c r="H160" s="141" t="str">
        <f>'Window Film'!N32</f>
        <v/>
      </c>
      <c r="I160" s="120" t="str">
        <f>IFERROR(N160*MIN(Table_Measure_Caps[[#Totals],[Estimated Raw Incentive Total]], Table_Measure_Caps[[#Totals],[Gross Measure Cost Total]], Value_Project_CAP)/Table_Measure_Caps[[#Totals],[Estimated Raw Incentive Total]], "")</f>
        <v/>
      </c>
      <c r="J160" s="120">
        <f>'Window Film'!I32</f>
        <v>0</v>
      </c>
      <c r="K160" s="117">
        <f>'Window Film'!J32</f>
        <v>0</v>
      </c>
      <c r="L160" s="121" t="str">
        <f t="shared" si="5"/>
        <v>Version 3.1</v>
      </c>
      <c r="M160" s="122">
        <f>'Window Film'!E32</f>
        <v>0</v>
      </c>
      <c r="N160" s="119" t="str">
        <f>'Window Film'!L32</f>
        <v/>
      </c>
    </row>
    <row r="161" spans="1:14" x14ac:dyDescent="0.2">
      <c r="A161" s="116" t="s">
        <v>405</v>
      </c>
      <c r="B161" s="117">
        <f t="shared" si="6"/>
        <v>0</v>
      </c>
      <c r="C161" s="117">
        <v>29</v>
      </c>
      <c r="D161" s="117" t="str">
        <f>'Window Film'!C33</f>
        <v/>
      </c>
      <c r="E161" s="117" t="str">
        <f>'Window Film'!F33</f>
        <v/>
      </c>
      <c r="F161" s="117">
        <f>'Window Film'!H33</f>
        <v>0</v>
      </c>
      <c r="G161" s="118" t="str">
        <f>'Window Film'!M33</f>
        <v/>
      </c>
      <c r="H161" s="141" t="str">
        <f>'Window Film'!N33</f>
        <v/>
      </c>
      <c r="I161" s="120" t="str">
        <f>IFERROR(N161*MIN(Table_Measure_Caps[[#Totals],[Estimated Raw Incentive Total]], Table_Measure_Caps[[#Totals],[Gross Measure Cost Total]], Value_Project_CAP)/Table_Measure_Caps[[#Totals],[Estimated Raw Incentive Total]], "")</f>
        <v/>
      </c>
      <c r="J161" s="120">
        <f>'Window Film'!I33</f>
        <v>0</v>
      </c>
      <c r="K161" s="117">
        <f>'Window Film'!J33</f>
        <v>0</v>
      </c>
      <c r="L161" s="121" t="str">
        <f t="shared" si="5"/>
        <v>Version 3.1</v>
      </c>
      <c r="M161" s="122">
        <f>'Window Film'!E33</f>
        <v>0</v>
      </c>
      <c r="N161" s="119" t="str">
        <f>'Window Film'!L33</f>
        <v/>
      </c>
    </row>
    <row r="162" spans="1:14" x14ac:dyDescent="0.2">
      <c r="A162" s="116" t="s">
        <v>405</v>
      </c>
      <c r="B162" s="123">
        <f t="shared" si="6"/>
        <v>0</v>
      </c>
      <c r="C162" s="123">
        <v>30</v>
      </c>
      <c r="D162" s="117" t="str">
        <f>'Window Film'!C34</f>
        <v/>
      </c>
      <c r="E162" s="117" t="str">
        <f>'Window Film'!F34</f>
        <v/>
      </c>
      <c r="F162" s="117">
        <f>'Window Film'!H34</f>
        <v>0</v>
      </c>
      <c r="G162" s="118" t="str">
        <f>'Window Film'!M34</f>
        <v/>
      </c>
      <c r="H162" s="141" t="str">
        <f>'Window Film'!N34</f>
        <v/>
      </c>
      <c r="I162" s="120" t="str">
        <f>IFERROR(N162*MIN(Table_Measure_Caps[[#Totals],[Estimated Raw Incentive Total]], Table_Measure_Caps[[#Totals],[Gross Measure Cost Total]], Value_Project_CAP)/Table_Measure_Caps[[#Totals],[Estimated Raw Incentive Total]], "")</f>
        <v/>
      </c>
      <c r="J162" s="120">
        <f>'Window Film'!I34</f>
        <v>0</v>
      </c>
      <c r="K162" s="117">
        <f>'Window Film'!J34</f>
        <v>0</v>
      </c>
      <c r="L162" s="121" t="str">
        <f t="shared" si="5"/>
        <v>Version 3.1</v>
      </c>
      <c r="M162" s="122">
        <f>'Window Film'!E34</f>
        <v>0</v>
      </c>
      <c r="N162" s="119" t="str">
        <f>'Window Film'!L34</f>
        <v/>
      </c>
    </row>
    <row r="163" spans="1:14" x14ac:dyDescent="0.2">
      <c r="A163" s="124" t="s">
        <v>409</v>
      </c>
      <c r="B163" s="125">
        <f t="shared" si="6"/>
        <v>0</v>
      </c>
      <c r="C163" s="125">
        <v>1</v>
      </c>
      <c r="D163" s="125" t="str">
        <f>Misc!C5</f>
        <v/>
      </c>
      <c r="E163" s="125" t="str">
        <f>Misc!F5</f>
        <v/>
      </c>
      <c r="F163" s="125">
        <f>Misc!G5</f>
        <v>0</v>
      </c>
      <c r="G163" s="126" t="str">
        <f>Misc!L5</f>
        <v/>
      </c>
      <c r="H163" s="142" t="str">
        <f>Misc!M5</f>
        <v/>
      </c>
      <c r="I163" s="128" t="str">
        <f>IFERROR(N163*MIN(Table_Measure_Caps[[#Totals],[Estimated Raw Incentive Total]], Table_Measure_Caps[[#Totals],[Gross Measure Cost Total]], Value_Project_CAP)/Table_Measure_Caps[[#Totals],[Estimated Raw Incentive Total]], "")</f>
        <v/>
      </c>
      <c r="J163" s="128">
        <f>Misc!H5</f>
        <v>0</v>
      </c>
      <c r="K163" s="125">
        <f>Misc!I5</f>
        <v>0</v>
      </c>
      <c r="L163" s="129" t="str">
        <f t="shared" si="5"/>
        <v>Version 3.1</v>
      </c>
      <c r="M163" s="130">
        <f>Misc!E5</f>
        <v>0</v>
      </c>
      <c r="N163" s="127" t="str">
        <f>Misc!K5</f>
        <v/>
      </c>
    </row>
    <row r="164" spans="1:14" x14ac:dyDescent="0.2">
      <c r="A164" s="124" t="s">
        <v>409</v>
      </c>
      <c r="B164" s="125">
        <f t="shared" si="6"/>
        <v>0</v>
      </c>
      <c r="C164" s="125">
        <v>2</v>
      </c>
      <c r="D164" s="125" t="str">
        <f>Misc!C6</f>
        <v/>
      </c>
      <c r="E164" s="125" t="str">
        <f>Misc!F6</f>
        <v/>
      </c>
      <c r="F164" s="125">
        <f>Misc!G6</f>
        <v>0</v>
      </c>
      <c r="G164" s="126" t="str">
        <f>Misc!L6</f>
        <v/>
      </c>
      <c r="H164" s="142" t="str">
        <f>Misc!M6</f>
        <v/>
      </c>
      <c r="I164" s="128" t="str">
        <f>IFERROR(N164*MIN(Table_Measure_Caps[[#Totals],[Estimated Raw Incentive Total]], Table_Measure_Caps[[#Totals],[Gross Measure Cost Total]], Value_Project_CAP)/Table_Measure_Caps[[#Totals],[Estimated Raw Incentive Total]], "")</f>
        <v/>
      </c>
      <c r="J164" s="128">
        <f>Misc!H6</f>
        <v>0</v>
      </c>
      <c r="K164" s="125">
        <f>Misc!I6</f>
        <v>0</v>
      </c>
      <c r="L164" s="129" t="str">
        <f t="shared" si="5"/>
        <v>Version 3.1</v>
      </c>
      <c r="M164" s="130">
        <f>Misc!E6</f>
        <v>0</v>
      </c>
      <c r="N164" s="127" t="str">
        <f>Misc!K6</f>
        <v/>
      </c>
    </row>
    <row r="165" spans="1:14" x14ac:dyDescent="0.2">
      <c r="A165" s="124" t="s">
        <v>409</v>
      </c>
      <c r="B165" s="125">
        <f t="shared" ref="B165:B196" si="7">Input_ProjectNumber</f>
        <v>0</v>
      </c>
      <c r="C165" s="125">
        <v>3</v>
      </c>
      <c r="D165" s="125" t="str">
        <f>Misc!C7</f>
        <v/>
      </c>
      <c r="E165" s="125" t="str">
        <f>Misc!F7</f>
        <v/>
      </c>
      <c r="F165" s="125">
        <f>Misc!G7</f>
        <v>0</v>
      </c>
      <c r="G165" s="126" t="str">
        <f>Misc!L7</f>
        <v/>
      </c>
      <c r="H165" s="142" t="str">
        <f>Misc!M7</f>
        <v/>
      </c>
      <c r="I165" s="128" t="str">
        <f>IFERROR(N165*MIN(Table_Measure_Caps[[#Totals],[Estimated Raw Incentive Total]], Table_Measure_Caps[[#Totals],[Gross Measure Cost Total]], Value_Project_CAP)/Table_Measure_Caps[[#Totals],[Estimated Raw Incentive Total]], "")</f>
        <v/>
      </c>
      <c r="J165" s="128">
        <f>Misc!H7</f>
        <v>0</v>
      </c>
      <c r="K165" s="125">
        <f>Misc!I7</f>
        <v>0</v>
      </c>
      <c r="L165" s="129" t="str">
        <f t="shared" si="5"/>
        <v>Version 3.1</v>
      </c>
      <c r="M165" s="130">
        <f>Misc!E7</f>
        <v>0</v>
      </c>
      <c r="N165" s="127" t="str">
        <f>Misc!K7</f>
        <v/>
      </c>
    </row>
    <row r="166" spans="1:14" x14ac:dyDescent="0.2">
      <c r="A166" s="124" t="s">
        <v>409</v>
      </c>
      <c r="B166" s="125">
        <f t="shared" si="7"/>
        <v>0</v>
      </c>
      <c r="C166" s="125">
        <v>4</v>
      </c>
      <c r="D166" s="125" t="str">
        <f>Misc!C8</f>
        <v/>
      </c>
      <c r="E166" s="125" t="str">
        <f>Misc!F8</f>
        <v/>
      </c>
      <c r="F166" s="125">
        <f>Misc!G8</f>
        <v>0</v>
      </c>
      <c r="G166" s="126" t="str">
        <f>Misc!L8</f>
        <v/>
      </c>
      <c r="H166" s="142" t="str">
        <f>Misc!M8</f>
        <v/>
      </c>
      <c r="I166" s="128" t="str">
        <f>IFERROR(N166*MIN(Table_Measure_Caps[[#Totals],[Estimated Raw Incentive Total]], Table_Measure_Caps[[#Totals],[Gross Measure Cost Total]], Value_Project_CAP)/Table_Measure_Caps[[#Totals],[Estimated Raw Incentive Total]], "")</f>
        <v/>
      </c>
      <c r="J166" s="128">
        <f>Misc!H8</f>
        <v>0</v>
      </c>
      <c r="K166" s="125">
        <f>Misc!I8</f>
        <v>0</v>
      </c>
      <c r="L166" s="129" t="str">
        <f t="shared" si="5"/>
        <v>Version 3.1</v>
      </c>
      <c r="M166" s="130">
        <f>Misc!E8</f>
        <v>0</v>
      </c>
      <c r="N166" s="127" t="str">
        <f>Misc!K8</f>
        <v/>
      </c>
    </row>
    <row r="167" spans="1:14" x14ac:dyDescent="0.2">
      <c r="A167" s="124" t="s">
        <v>409</v>
      </c>
      <c r="B167" s="125">
        <f t="shared" si="7"/>
        <v>0</v>
      </c>
      <c r="C167" s="125">
        <v>5</v>
      </c>
      <c r="D167" s="125" t="str">
        <f>Misc!C9</f>
        <v/>
      </c>
      <c r="E167" s="125" t="str">
        <f>Misc!F9</f>
        <v/>
      </c>
      <c r="F167" s="125">
        <f>Misc!G9</f>
        <v>0</v>
      </c>
      <c r="G167" s="126" t="str">
        <f>Misc!L9</f>
        <v/>
      </c>
      <c r="H167" s="142" t="str">
        <f>Misc!M9</f>
        <v/>
      </c>
      <c r="I167" s="128" t="str">
        <f>IFERROR(N167*MIN(Table_Measure_Caps[[#Totals],[Estimated Raw Incentive Total]], Table_Measure_Caps[[#Totals],[Gross Measure Cost Total]], Value_Project_CAP)/Table_Measure_Caps[[#Totals],[Estimated Raw Incentive Total]], "")</f>
        <v/>
      </c>
      <c r="J167" s="128">
        <f>Misc!H9</f>
        <v>0</v>
      </c>
      <c r="K167" s="125">
        <f>Misc!I9</f>
        <v>0</v>
      </c>
      <c r="L167" s="129" t="str">
        <f t="shared" si="5"/>
        <v>Version 3.1</v>
      </c>
      <c r="M167" s="130">
        <f>Misc!E9</f>
        <v>0</v>
      </c>
      <c r="N167" s="127" t="str">
        <f>Misc!K9</f>
        <v/>
      </c>
    </row>
    <row r="168" spans="1:14" x14ac:dyDescent="0.2">
      <c r="A168" s="124" t="s">
        <v>409</v>
      </c>
      <c r="B168" s="125">
        <f t="shared" si="7"/>
        <v>0</v>
      </c>
      <c r="C168" s="125">
        <v>6</v>
      </c>
      <c r="D168" s="125" t="str">
        <f>Misc!C10</f>
        <v/>
      </c>
      <c r="E168" s="125" t="str">
        <f>Misc!F10</f>
        <v/>
      </c>
      <c r="F168" s="125">
        <f>Misc!G10</f>
        <v>0</v>
      </c>
      <c r="G168" s="126" t="str">
        <f>Misc!L10</f>
        <v/>
      </c>
      <c r="H168" s="142" t="str">
        <f>Misc!M10</f>
        <v/>
      </c>
      <c r="I168" s="128" t="str">
        <f>IFERROR(N168*MIN(Table_Measure_Caps[[#Totals],[Estimated Raw Incentive Total]], Table_Measure_Caps[[#Totals],[Gross Measure Cost Total]], Value_Project_CAP)/Table_Measure_Caps[[#Totals],[Estimated Raw Incentive Total]], "")</f>
        <v/>
      </c>
      <c r="J168" s="128">
        <f>Misc!H10</f>
        <v>0</v>
      </c>
      <c r="K168" s="125">
        <f>Misc!I10</f>
        <v>0</v>
      </c>
      <c r="L168" s="129" t="str">
        <f t="shared" si="5"/>
        <v>Version 3.1</v>
      </c>
      <c r="M168" s="130">
        <f>Misc!E10</f>
        <v>0</v>
      </c>
      <c r="N168" s="127" t="str">
        <f>Misc!K10</f>
        <v/>
      </c>
    </row>
    <row r="169" spans="1:14" x14ac:dyDescent="0.2">
      <c r="A169" s="124" t="s">
        <v>409</v>
      </c>
      <c r="B169" s="125">
        <f t="shared" si="7"/>
        <v>0</v>
      </c>
      <c r="C169" s="125">
        <v>7</v>
      </c>
      <c r="D169" s="125" t="str">
        <f>Misc!C11</f>
        <v/>
      </c>
      <c r="E169" s="125" t="str">
        <f>Misc!F11</f>
        <v/>
      </c>
      <c r="F169" s="125">
        <f>Misc!G11</f>
        <v>0</v>
      </c>
      <c r="G169" s="126" t="str">
        <f>Misc!L11</f>
        <v/>
      </c>
      <c r="H169" s="142" t="str">
        <f>Misc!M11</f>
        <v/>
      </c>
      <c r="I169" s="128" t="str">
        <f>IFERROR(N169*MIN(Table_Measure_Caps[[#Totals],[Estimated Raw Incentive Total]], Table_Measure_Caps[[#Totals],[Gross Measure Cost Total]], Value_Project_CAP)/Table_Measure_Caps[[#Totals],[Estimated Raw Incentive Total]], "")</f>
        <v/>
      </c>
      <c r="J169" s="128">
        <f>Misc!H11</f>
        <v>0</v>
      </c>
      <c r="K169" s="125">
        <f>Misc!I11</f>
        <v>0</v>
      </c>
      <c r="L169" s="129" t="str">
        <f t="shared" si="5"/>
        <v>Version 3.1</v>
      </c>
      <c r="M169" s="130">
        <f>Misc!E11</f>
        <v>0</v>
      </c>
      <c r="N169" s="127" t="str">
        <f>Misc!K11</f>
        <v/>
      </c>
    </row>
    <row r="170" spans="1:14" x14ac:dyDescent="0.2">
      <c r="A170" s="124" t="s">
        <v>409</v>
      </c>
      <c r="B170" s="125">
        <f t="shared" si="7"/>
        <v>0</v>
      </c>
      <c r="C170" s="125">
        <v>8</v>
      </c>
      <c r="D170" s="125" t="str">
        <f>Misc!C12</f>
        <v/>
      </c>
      <c r="E170" s="125" t="str">
        <f>Misc!F12</f>
        <v/>
      </c>
      <c r="F170" s="125">
        <f>Misc!G12</f>
        <v>0</v>
      </c>
      <c r="G170" s="126" t="str">
        <f>Misc!L12</f>
        <v/>
      </c>
      <c r="H170" s="142" t="str">
        <f>Misc!M12</f>
        <v/>
      </c>
      <c r="I170" s="128" t="str">
        <f>IFERROR(N170*MIN(Table_Measure_Caps[[#Totals],[Estimated Raw Incentive Total]], Table_Measure_Caps[[#Totals],[Gross Measure Cost Total]], Value_Project_CAP)/Table_Measure_Caps[[#Totals],[Estimated Raw Incentive Total]], "")</f>
        <v/>
      </c>
      <c r="J170" s="128">
        <f>Misc!H12</f>
        <v>0</v>
      </c>
      <c r="K170" s="125">
        <f>Misc!I12</f>
        <v>0</v>
      </c>
      <c r="L170" s="129" t="str">
        <f t="shared" si="5"/>
        <v>Version 3.1</v>
      </c>
      <c r="M170" s="130">
        <f>Misc!E12</f>
        <v>0</v>
      </c>
      <c r="N170" s="127" t="str">
        <f>Misc!K12</f>
        <v/>
      </c>
    </row>
    <row r="171" spans="1:14" x14ac:dyDescent="0.2">
      <c r="A171" s="124" t="s">
        <v>409</v>
      </c>
      <c r="B171" s="125">
        <f t="shared" si="7"/>
        <v>0</v>
      </c>
      <c r="C171" s="125">
        <v>9</v>
      </c>
      <c r="D171" s="125" t="str">
        <f>Misc!C13</f>
        <v/>
      </c>
      <c r="E171" s="125" t="str">
        <f>Misc!F13</f>
        <v/>
      </c>
      <c r="F171" s="125">
        <f>Misc!G13</f>
        <v>0</v>
      </c>
      <c r="G171" s="126" t="str">
        <f>Misc!L13</f>
        <v/>
      </c>
      <c r="H171" s="142" t="str">
        <f>Misc!M13</f>
        <v/>
      </c>
      <c r="I171" s="128" t="str">
        <f>IFERROR(N171*MIN(Table_Measure_Caps[[#Totals],[Estimated Raw Incentive Total]], Table_Measure_Caps[[#Totals],[Gross Measure Cost Total]], Value_Project_CAP)/Table_Measure_Caps[[#Totals],[Estimated Raw Incentive Total]], "")</f>
        <v/>
      </c>
      <c r="J171" s="128">
        <f>Misc!H13</f>
        <v>0</v>
      </c>
      <c r="K171" s="125">
        <f>Misc!I13</f>
        <v>0</v>
      </c>
      <c r="L171" s="129" t="str">
        <f t="shared" si="5"/>
        <v>Version 3.1</v>
      </c>
      <c r="M171" s="130">
        <f>Misc!E13</f>
        <v>0</v>
      </c>
      <c r="N171" s="127" t="str">
        <f>Misc!K13</f>
        <v/>
      </c>
    </row>
    <row r="172" spans="1:14" x14ac:dyDescent="0.2">
      <c r="A172" s="124" t="s">
        <v>409</v>
      </c>
      <c r="B172" s="125">
        <f t="shared" si="7"/>
        <v>0</v>
      </c>
      <c r="C172" s="125">
        <v>10</v>
      </c>
      <c r="D172" s="125" t="str">
        <f>Misc!C14</f>
        <v/>
      </c>
      <c r="E172" s="125" t="str">
        <f>Misc!F14</f>
        <v/>
      </c>
      <c r="F172" s="125">
        <f>Misc!G14</f>
        <v>0</v>
      </c>
      <c r="G172" s="126" t="str">
        <f>Misc!L14</f>
        <v/>
      </c>
      <c r="H172" s="142" t="str">
        <f>Misc!M14</f>
        <v/>
      </c>
      <c r="I172" s="128" t="str">
        <f>IFERROR(N172*MIN(Table_Measure_Caps[[#Totals],[Estimated Raw Incentive Total]], Table_Measure_Caps[[#Totals],[Gross Measure Cost Total]], Value_Project_CAP)/Table_Measure_Caps[[#Totals],[Estimated Raw Incentive Total]], "")</f>
        <v/>
      </c>
      <c r="J172" s="128">
        <f>Misc!H14</f>
        <v>0</v>
      </c>
      <c r="K172" s="125">
        <f>Misc!I14</f>
        <v>0</v>
      </c>
      <c r="L172" s="129" t="str">
        <f t="shared" si="5"/>
        <v>Version 3.1</v>
      </c>
      <c r="M172" s="130">
        <f>Misc!E14</f>
        <v>0</v>
      </c>
      <c r="N172" s="127" t="str">
        <f>Misc!K14</f>
        <v/>
      </c>
    </row>
    <row r="173" spans="1:14" x14ac:dyDescent="0.2">
      <c r="A173" s="124" t="s">
        <v>409</v>
      </c>
      <c r="B173" s="125">
        <f t="shared" si="7"/>
        <v>0</v>
      </c>
      <c r="C173" s="125">
        <v>11</v>
      </c>
      <c r="D173" s="125" t="str">
        <f>Misc!C15</f>
        <v/>
      </c>
      <c r="E173" s="125" t="str">
        <f>Misc!F15</f>
        <v/>
      </c>
      <c r="F173" s="125">
        <f>Misc!G15</f>
        <v>0</v>
      </c>
      <c r="G173" s="126" t="str">
        <f>Misc!L15</f>
        <v/>
      </c>
      <c r="H173" s="142" t="str">
        <f>Misc!M15</f>
        <v/>
      </c>
      <c r="I173" s="128" t="str">
        <f>IFERROR(N173*MIN(Table_Measure_Caps[[#Totals],[Estimated Raw Incentive Total]], Table_Measure_Caps[[#Totals],[Gross Measure Cost Total]], Value_Project_CAP)/Table_Measure_Caps[[#Totals],[Estimated Raw Incentive Total]], "")</f>
        <v/>
      </c>
      <c r="J173" s="128">
        <f>Misc!H15</f>
        <v>0</v>
      </c>
      <c r="K173" s="125">
        <f>Misc!I15</f>
        <v>0</v>
      </c>
      <c r="L173" s="129" t="str">
        <f t="shared" si="5"/>
        <v>Version 3.1</v>
      </c>
      <c r="M173" s="130">
        <f>Misc!E15</f>
        <v>0</v>
      </c>
      <c r="N173" s="127" t="str">
        <f>Misc!K15</f>
        <v/>
      </c>
    </row>
    <row r="174" spans="1:14" x14ac:dyDescent="0.2">
      <c r="A174" s="124" t="s">
        <v>409</v>
      </c>
      <c r="B174" s="125">
        <f t="shared" si="7"/>
        <v>0</v>
      </c>
      <c r="C174" s="125">
        <v>12</v>
      </c>
      <c r="D174" s="125" t="str">
        <f>Misc!C16</f>
        <v/>
      </c>
      <c r="E174" s="125" t="str">
        <f>Misc!F16</f>
        <v/>
      </c>
      <c r="F174" s="125">
        <f>Misc!G16</f>
        <v>0</v>
      </c>
      <c r="G174" s="126" t="str">
        <f>Misc!L16</f>
        <v/>
      </c>
      <c r="H174" s="142" t="str">
        <f>Misc!M16</f>
        <v/>
      </c>
      <c r="I174" s="128" t="str">
        <f>IFERROR(N174*MIN(Table_Measure_Caps[[#Totals],[Estimated Raw Incentive Total]], Table_Measure_Caps[[#Totals],[Gross Measure Cost Total]], Value_Project_CAP)/Table_Measure_Caps[[#Totals],[Estimated Raw Incentive Total]], "")</f>
        <v/>
      </c>
      <c r="J174" s="128">
        <f>Misc!H16</f>
        <v>0</v>
      </c>
      <c r="K174" s="125">
        <f>Misc!I16</f>
        <v>0</v>
      </c>
      <c r="L174" s="129" t="str">
        <f t="shared" si="5"/>
        <v>Version 3.1</v>
      </c>
      <c r="M174" s="130">
        <f>Misc!E16</f>
        <v>0</v>
      </c>
      <c r="N174" s="127" t="str">
        <f>Misc!K16</f>
        <v/>
      </c>
    </row>
    <row r="175" spans="1:14" x14ac:dyDescent="0.2">
      <c r="A175" s="124" t="s">
        <v>409</v>
      </c>
      <c r="B175" s="125">
        <f t="shared" si="7"/>
        <v>0</v>
      </c>
      <c r="C175" s="125">
        <v>13</v>
      </c>
      <c r="D175" s="125" t="str">
        <f>Misc!C17</f>
        <v/>
      </c>
      <c r="E175" s="125" t="str">
        <f>Misc!F17</f>
        <v/>
      </c>
      <c r="F175" s="125">
        <f>Misc!G17</f>
        <v>0</v>
      </c>
      <c r="G175" s="126" t="str">
        <f>Misc!L17</f>
        <v/>
      </c>
      <c r="H175" s="142" t="str">
        <f>Misc!M17</f>
        <v/>
      </c>
      <c r="I175" s="128" t="str">
        <f>IFERROR(N175*MIN(Table_Measure_Caps[[#Totals],[Estimated Raw Incentive Total]], Table_Measure_Caps[[#Totals],[Gross Measure Cost Total]], Value_Project_CAP)/Table_Measure_Caps[[#Totals],[Estimated Raw Incentive Total]], "")</f>
        <v/>
      </c>
      <c r="J175" s="128">
        <f>Misc!H17</f>
        <v>0</v>
      </c>
      <c r="K175" s="125">
        <f>Misc!I17</f>
        <v>0</v>
      </c>
      <c r="L175" s="129" t="str">
        <f t="shared" si="5"/>
        <v>Version 3.1</v>
      </c>
      <c r="M175" s="130">
        <f>Misc!E17</f>
        <v>0</v>
      </c>
      <c r="N175" s="127" t="str">
        <f>Misc!K17</f>
        <v/>
      </c>
    </row>
    <row r="176" spans="1:14" x14ac:dyDescent="0.2">
      <c r="A176" s="124" t="s">
        <v>409</v>
      </c>
      <c r="B176" s="125">
        <f t="shared" si="7"/>
        <v>0</v>
      </c>
      <c r="C176" s="125">
        <v>14</v>
      </c>
      <c r="D176" s="125" t="str">
        <f>Misc!C18</f>
        <v/>
      </c>
      <c r="E176" s="125" t="str">
        <f>Misc!F18</f>
        <v/>
      </c>
      <c r="F176" s="125">
        <f>Misc!G18</f>
        <v>0</v>
      </c>
      <c r="G176" s="126" t="str">
        <f>Misc!L18</f>
        <v/>
      </c>
      <c r="H176" s="142" t="str">
        <f>Misc!M18</f>
        <v/>
      </c>
      <c r="I176" s="128" t="str">
        <f>IFERROR(N176*MIN(Table_Measure_Caps[[#Totals],[Estimated Raw Incentive Total]], Table_Measure_Caps[[#Totals],[Gross Measure Cost Total]], Value_Project_CAP)/Table_Measure_Caps[[#Totals],[Estimated Raw Incentive Total]], "")</f>
        <v/>
      </c>
      <c r="J176" s="128">
        <f>Misc!H18</f>
        <v>0</v>
      </c>
      <c r="K176" s="125">
        <f>Misc!I18</f>
        <v>0</v>
      </c>
      <c r="L176" s="129" t="str">
        <f t="shared" si="5"/>
        <v>Version 3.1</v>
      </c>
      <c r="M176" s="130">
        <f>Misc!E18</f>
        <v>0</v>
      </c>
      <c r="N176" s="127" t="str">
        <f>Misc!K18</f>
        <v/>
      </c>
    </row>
    <row r="177" spans="1:14" x14ac:dyDescent="0.2">
      <c r="A177" s="124" t="s">
        <v>409</v>
      </c>
      <c r="B177" s="125">
        <f t="shared" si="7"/>
        <v>0</v>
      </c>
      <c r="C177" s="125">
        <v>15</v>
      </c>
      <c r="D177" s="125" t="str">
        <f>Misc!C19</f>
        <v/>
      </c>
      <c r="E177" s="125" t="str">
        <f>Misc!F19</f>
        <v/>
      </c>
      <c r="F177" s="125">
        <f>Misc!G19</f>
        <v>0</v>
      </c>
      <c r="G177" s="126" t="str">
        <f>Misc!L19</f>
        <v/>
      </c>
      <c r="H177" s="142" t="str">
        <f>Misc!M19</f>
        <v/>
      </c>
      <c r="I177" s="128" t="str">
        <f>IFERROR(N177*MIN(Table_Measure_Caps[[#Totals],[Estimated Raw Incentive Total]], Table_Measure_Caps[[#Totals],[Gross Measure Cost Total]], Value_Project_CAP)/Table_Measure_Caps[[#Totals],[Estimated Raw Incentive Total]], "")</f>
        <v/>
      </c>
      <c r="J177" s="128">
        <f>Misc!H19</f>
        <v>0</v>
      </c>
      <c r="K177" s="125">
        <f>Misc!I19</f>
        <v>0</v>
      </c>
      <c r="L177" s="129" t="str">
        <f t="shared" si="5"/>
        <v>Version 3.1</v>
      </c>
      <c r="M177" s="130">
        <f>Misc!E19</f>
        <v>0</v>
      </c>
      <c r="N177" s="127" t="str">
        <f>Misc!K19</f>
        <v/>
      </c>
    </row>
    <row r="178" spans="1:14" x14ac:dyDescent="0.2">
      <c r="A178" s="124" t="s">
        <v>409</v>
      </c>
      <c r="B178" s="125">
        <f t="shared" si="7"/>
        <v>0</v>
      </c>
      <c r="C178" s="125">
        <v>16</v>
      </c>
      <c r="D178" s="125" t="str">
        <f>Misc!C20</f>
        <v/>
      </c>
      <c r="E178" s="125" t="str">
        <f>Misc!F20</f>
        <v/>
      </c>
      <c r="F178" s="125">
        <f>Misc!G20</f>
        <v>0</v>
      </c>
      <c r="G178" s="126" t="str">
        <f>Misc!L20</f>
        <v/>
      </c>
      <c r="H178" s="142" t="str">
        <f>Misc!M20</f>
        <v/>
      </c>
      <c r="I178" s="128" t="str">
        <f>IFERROR(N178*MIN(Table_Measure_Caps[[#Totals],[Estimated Raw Incentive Total]], Table_Measure_Caps[[#Totals],[Gross Measure Cost Total]], Value_Project_CAP)/Table_Measure_Caps[[#Totals],[Estimated Raw Incentive Total]], "")</f>
        <v/>
      </c>
      <c r="J178" s="128">
        <f>Misc!H20</f>
        <v>0</v>
      </c>
      <c r="K178" s="125">
        <f>Misc!I20</f>
        <v>0</v>
      </c>
      <c r="L178" s="129" t="str">
        <f t="shared" si="5"/>
        <v>Version 3.1</v>
      </c>
      <c r="M178" s="130">
        <f>Misc!E20</f>
        <v>0</v>
      </c>
      <c r="N178" s="127" t="str">
        <f>Misc!K20</f>
        <v/>
      </c>
    </row>
    <row r="179" spans="1:14" x14ac:dyDescent="0.2">
      <c r="A179" s="124" t="s">
        <v>409</v>
      </c>
      <c r="B179" s="125">
        <f t="shared" si="7"/>
        <v>0</v>
      </c>
      <c r="C179" s="125">
        <v>17</v>
      </c>
      <c r="D179" s="125" t="str">
        <f>Misc!C21</f>
        <v/>
      </c>
      <c r="E179" s="125" t="str">
        <f>Misc!F21</f>
        <v/>
      </c>
      <c r="F179" s="125">
        <f>Misc!G21</f>
        <v>0</v>
      </c>
      <c r="G179" s="126" t="str">
        <f>Misc!L21</f>
        <v/>
      </c>
      <c r="H179" s="142" t="str">
        <f>Misc!M21</f>
        <v/>
      </c>
      <c r="I179" s="128" t="str">
        <f>IFERROR(N179*MIN(Table_Measure_Caps[[#Totals],[Estimated Raw Incentive Total]], Table_Measure_Caps[[#Totals],[Gross Measure Cost Total]], Value_Project_CAP)/Table_Measure_Caps[[#Totals],[Estimated Raw Incentive Total]], "")</f>
        <v/>
      </c>
      <c r="J179" s="128">
        <f>Misc!H21</f>
        <v>0</v>
      </c>
      <c r="K179" s="125">
        <f>Misc!I21</f>
        <v>0</v>
      </c>
      <c r="L179" s="129" t="str">
        <f t="shared" si="5"/>
        <v>Version 3.1</v>
      </c>
      <c r="M179" s="130">
        <f>Misc!E21</f>
        <v>0</v>
      </c>
      <c r="N179" s="127" t="str">
        <f>Misc!K21</f>
        <v/>
      </c>
    </row>
    <row r="180" spans="1:14" x14ac:dyDescent="0.2">
      <c r="A180" s="124" t="s">
        <v>409</v>
      </c>
      <c r="B180" s="125">
        <f t="shared" si="7"/>
        <v>0</v>
      </c>
      <c r="C180" s="125">
        <v>18</v>
      </c>
      <c r="D180" s="125" t="str">
        <f>Misc!C22</f>
        <v/>
      </c>
      <c r="E180" s="125" t="str">
        <f>Misc!F22</f>
        <v/>
      </c>
      <c r="F180" s="125">
        <f>Misc!G22</f>
        <v>0</v>
      </c>
      <c r="G180" s="126" t="str">
        <f>Misc!L22</f>
        <v/>
      </c>
      <c r="H180" s="142" t="str">
        <f>Misc!M22</f>
        <v/>
      </c>
      <c r="I180" s="128" t="str">
        <f>IFERROR(N180*MIN(Table_Measure_Caps[[#Totals],[Estimated Raw Incentive Total]], Table_Measure_Caps[[#Totals],[Gross Measure Cost Total]], Value_Project_CAP)/Table_Measure_Caps[[#Totals],[Estimated Raw Incentive Total]], "")</f>
        <v/>
      </c>
      <c r="J180" s="128">
        <f>Misc!H22</f>
        <v>0</v>
      </c>
      <c r="K180" s="125">
        <f>Misc!I22</f>
        <v>0</v>
      </c>
      <c r="L180" s="129" t="str">
        <f t="shared" si="5"/>
        <v>Version 3.1</v>
      </c>
      <c r="M180" s="130">
        <f>Misc!E22</f>
        <v>0</v>
      </c>
      <c r="N180" s="127" t="str">
        <f>Misc!K22</f>
        <v/>
      </c>
    </row>
    <row r="181" spans="1:14" x14ac:dyDescent="0.2">
      <c r="A181" s="124" t="s">
        <v>409</v>
      </c>
      <c r="B181" s="125">
        <f t="shared" si="7"/>
        <v>0</v>
      </c>
      <c r="C181" s="125">
        <v>19</v>
      </c>
      <c r="D181" s="125" t="str">
        <f>Misc!C23</f>
        <v/>
      </c>
      <c r="E181" s="125" t="str">
        <f>Misc!F23</f>
        <v/>
      </c>
      <c r="F181" s="125">
        <f>Misc!G23</f>
        <v>0</v>
      </c>
      <c r="G181" s="126" t="str">
        <f>Misc!L23</f>
        <v/>
      </c>
      <c r="H181" s="142" t="str">
        <f>Misc!M23</f>
        <v/>
      </c>
      <c r="I181" s="128" t="str">
        <f>IFERROR(N181*MIN(Table_Measure_Caps[[#Totals],[Estimated Raw Incentive Total]], Table_Measure_Caps[[#Totals],[Gross Measure Cost Total]], Value_Project_CAP)/Table_Measure_Caps[[#Totals],[Estimated Raw Incentive Total]], "")</f>
        <v/>
      </c>
      <c r="J181" s="128">
        <f>Misc!H23</f>
        <v>0</v>
      </c>
      <c r="K181" s="125">
        <f>Misc!I23</f>
        <v>0</v>
      </c>
      <c r="L181" s="129" t="str">
        <f t="shared" si="5"/>
        <v>Version 3.1</v>
      </c>
      <c r="M181" s="130">
        <f>Misc!E23</f>
        <v>0</v>
      </c>
      <c r="N181" s="127" t="str">
        <f>Misc!K23</f>
        <v/>
      </c>
    </row>
    <row r="182" spans="1:14" x14ac:dyDescent="0.2">
      <c r="A182" s="124" t="s">
        <v>409</v>
      </c>
      <c r="B182" s="125">
        <f t="shared" si="7"/>
        <v>0</v>
      </c>
      <c r="C182" s="125">
        <v>20</v>
      </c>
      <c r="D182" s="125" t="str">
        <f>Misc!C24</f>
        <v/>
      </c>
      <c r="E182" s="125" t="str">
        <f>Misc!F24</f>
        <v/>
      </c>
      <c r="F182" s="125">
        <f>Misc!G24</f>
        <v>0</v>
      </c>
      <c r="G182" s="126" t="str">
        <f>Misc!L24</f>
        <v/>
      </c>
      <c r="H182" s="142" t="str">
        <f>Misc!M24</f>
        <v/>
      </c>
      <c r="I182" s="128" t="str">
        <f>IFERROR(N182*MIN(Table_Measure_Caps[[#Totals],[Estimated Raw Incentive Total]], Table_Measure_Caps[[#Totals],[Gross Measure Cost Total]], Value_Project_CAP)/Table_Measure_Caps[[#Totals],[Estimated Raw Incentive Total]], "")</f>
        <v/>
      </c>
      <c r="J182" s="128">
        <f>Misc!H24</f>
        <v>0</v>
      </c>
      <c r="K182" s="125">
        <f>Misc!I24</f>
        <v>0</v>
      </c>
      <c r="L182" s="129" t="str">
        <f t="shared" si="5"/>
        <v>Version 3.1</v>
      </c>
      <c r="M182" s="130">
        <f>Misc!E24</f>
        <v>0</v>
      </c>
      <c r="N182" s="127" t="str">
        <f>Misc!K24</f>
        <v/>
      </c>
    </row>
    <row r="183" spans="1:14" x14ac:dyDescent="0.2">
      <c r="A183" s="124" t="s">
        <v>409</v>
      </c>
      <c r="B183" s="125">
        <f t="shared" si="7"/>
        <v>0</v>
      </c>
      <c r="C183" s="125">
        <v>21</v>
      </c>
      <c r="D183" s="125" t="str">
        <f>Misc!C25</f>
        <v/>
      </c>
      <c r="E183" s="125" t="str">
        <f>Misc!F25</f>
        <v/>
      </c>
      <c r="F183" s="125">
        <f>Misc!G25</f>
        <v>0</v>
      </c>
      <c r="G183" s="126" t="str">
        <f>Misc!L25</f>
        <v/>
      </c>
      <c r="H183" s="142" t="str">
        <f>Misc!M25</f>
        <v/>
      </c>
      <c r="I183" s="128" t="str">
        <f>IFERROR(N183*MIN(Table_Measure_Caps[[#Totals],[Estimated Raw Incentive Total]], Table_Measure_Caps[[#Totals],[Gross Measure Cost Total]], Value_Project_CAP)/Table_Measure_Caps[[#Totals],[Estimated Raw Incentive Total]], "")</f>
        <v/>
      </c>
      <c r="J183" s="128">
        <f>Misc!H25</f>
        <v>0</v>
      </c>
      <c r="K183" s="125">
        <f>Misc!I25</f>
        <v>0</v>
      </c>
      <c r="L183" s="129" t="str">
        <f t="shared" si="5"/>
        <v>Version 3.1</v>
      </c>
      <c r="M183" s="130">
        <f>Misc!E25</f>
        <v>0</v>
      </c>
      <c r="N183" s="127" t="str">
        <f>Misc!K25</f>
        <v/>
      </c>
    </row>
    <row r="184" spans="1:14" x14ac:dyDescent="0.2">
      <c r="A184" s="124" t="s">
        <v>409</v>
      </c>
      <c r="B184" s="125">
        <f t="shared" si="7"/>
        <v>0</v>
      </c>
      <c r="C184" s="125">
        <v>22</v>
      </c>
      <c r="D184" s="125" t="str">
        <f>Misc!C26</f>
        <v/>
      </c>
      <c r="E184" s="125" t="str">
        <f>Misc!F26</f>
        <v/>
      </c>
      <c r="F184" s="125">
        <f>Misc!G26</f>
        <v>0</v>
      </c>
      <c r="G184" s="126" t="str">
        <f>Misc!L26</f>
        <v/>
      </c>
      <c r="H184" s="142" t="str">
        <f>Misc!M26</f>
        <v/>
      </c>
      <c r="I184" s="128" t="str">
        <f>IFERROR(N184*MIN(Table_Measure_Caps[[#Totals],[Estimated Raw Incentive Total]], Table_Measure_Caps[[#Totals],[Gross Measure Cost Total]], Value_Project_CAP)/Table_Measure_Caps[[#Totals],[Estimated Raw Incentive Total]], "")</f>
        <v/>
      </c>
      <c r="J184" s="128">
        <f>Misc!H26</f>
        <v>0</v>
      </c>
      <c r="K184" s="125">
        <f>Misc!I26</f>
        <v>0</v>
      </c>
      <c r="L184" s="129" t="str">
        <f t="shared" si="5"/>
        <v>Version 3.1</v>
      </c>
      <c r="M184" s="130">
        <f>Misc!E26</f>
        <v>0</v>
      </c>
      <c r="N184" s="127" t="str">
        <f>Misc!K26</f>
        <v/>
      </c>
    </row>
    <row r="185" spans="1:14" x14ac:dyDescent="0.2">
      <c r="A185" s="124" t="s">
        <v>409</v>
      </c>
      <c r="B185" s="125">
        <f t="shared" si="7"/>
        <v>0</v>
      </c>
      <c r="C185" s="125">
        <v>23</v>
      </c>
      <c r="D185" s="125" t="str">
        <f>Misc!C27</f>
        <v/>
      </c>
      <c r="E185" s="125" t="str">
        <f>Misc!F27</f>
        <v/>
      </c>
      <c r="F185" s="125">
        <f>Misc!G27</f>
        <v>0</v>
      </c>
      <c r="G185" s="126" t="str">
        <f>Misc!L27</f>
        <v/>
      </c>
      <c r="H185" s="142" t="str">
        <f>Misc!M27</f>
        <v/>
      </c>
      <c r="I185" s="128" t="str">
        <f>IFERROR(N185*MIN(Table_Measure_Caps[[#Totals],[Estimated Raw Incentive Total]], Table_Measure_Caps[[#Totals],[Gross Measure Cost Total]], Value_Project_CAP)/Table_Measure_Caps[[#Totals],[Estimated Raw Incentive Total]], "")</f>
        <v/>
      </c>
      <c r="J185" s="128">
        <f>Misc!H27</f>
        <v>0</v>
      </c>
      <c r="K185" s="125">
        <f>Misc!I27</f>
        <v>0</v>
      </c>
      <c r="L185" s="129" t="str">
        <f t="shared" si="5"/>
        <v>Version 3.1</v>
      </c>
      <c r="M185" s="130">
        <f>Misc!E27</f>
        <v>0</v>
      </c>
      <c r="N185" s="127" t="str">
        <f>Misc!K27</f>
        <v/>
      </c>
    </row>
    <row r="186" spans="1:14" x14ac:dyDescent="0.2">
      <c r="A186" s="124" t="s">
        <v>409</v>
      </c>
      <c r="B186" s="125">
        <f t="shared" si="7"/>
        <v>0</v>
      </c>
      <c r="C186" s="125">
        <v>24</v>
      </c>
      <c r="D186" s="125" t="str">
        <f>Misc!C28</f>
        <v/>
      </c>
      <c r="E186" s="125" t="str">
        <f>Misc!F28</f>
        <v/>
      </c>
      <c r="F186" s="125">
        <f>Misc!G28</f>
        <v>0</v>
      </c>
      <c r="G186" s="126" t="str">
        <f>Misc!L28</f>
        <v/>
      </c>
      <c r="H186" s="142" t="str">
        <f>Misc!M28</f>
        <v/>
      </c>
      <c r="I186" s="128" t="str">
        <f>IFERROR(N186*MIN(Table_Measure_Caps[[#Totals],[Estimated Raw Incentive Total]], Table_Measure_Caps[[#Totals],[Gross Measure Cost Total]], Value_Project_CAP)/Table_Measure_Caps[[#Totals],[Estimated Raw Incentive Total]], "")</f>
        <v/>
      </c>
      <c r="J186" s="128">
        <f>Misc!H28</f>
        <v>0</v>
      </c>
      <c r="K186" s="125">
        <f>Misc!I28</f>
        <v>0</v>
      </c>
      <c r="L186" s="129" t="str">
        <f t="shared" si="5"/>
        <v>Version 3.1</v>
      </c>
      <c r="M186" s="130">
        <f>Misc!E28</f>
        <v>0</v>
      </c>
      <c r="N186" s="127" t="str">
        <f>Misc!K28</f>
        <v/>
      </c>
    </row>
    <row r="187" spans="1:14" x14ac:dyDescent="0.2">
      <c r="A187" s="124" t="s">
        <v>409</v>
      </c>
      <c r="B187" s="125">
        <f t="shared" si="7"/>
        <v>0</v>
      </c>
      <c r="C187" s="125">
        <v>25</v>
      </c>
      <c r="D187" s="125" t="str">
        <f>Misc!C29</f>
        <v/>
      </c>
      <c r="E187" s="125" t="str">
        <f>Misc!F29</f>
        <v/>
      </c>
      <c r="F187" s="125">
        <f>Misc!G29</f>
        <v>0</v>
      </c>
      <c r="G187" s="126" t="str">
        <f>Misc!L29</f>
        <v/>
      </c>
      <c r="H187" s="142" t="str">
        <f>Misc!M29</f>
        <v/>
      </c>
      <c r="I187" s="128" t="str">
        <f>IFERROR(N187*MIN(Table_Measure_Caps[[#Totals],[Estimated Raw Incentive Total]], Table_Measure_Caps[[#Totals],[Gross Measure Cost Total]], Value_Project_CAP)/Table_Measure_Caps[[#Totals],[Estimated Raw Incentive Total]], "")</f>
        <v/>
      </c>
      <c r="J187" s="128">
        <f>Misc!H29</f>
        <v>0</v>
      </c>
      <c r="K187" s="125">
        <f>Misc!I29</f>
        <v>0</v>
      </c>
      <c r="L187" s="129" t="str">
        <f t="shared" si="5"/>
        <v>Version 3.1</v>
      </c>
      <c r="M187" s="130">
        <f>Misc!E29</f>
        <v>0</v>
      </c>
      <c r="N187" s="127" t="str">
        <f>Misc!K29</f>
        <v/>
      </c>
    </row>
    <row r="188" spans="1:14" x14ac:dyDescent="0.2">
      <c r="A188" s="124" t="s">
        <v>409</v>
      </c>
      <c r="B188" s="125">
        <f t="shared" si="7"/>
        <v>0</v>
      </c>
      <c r="C188" s="125">
        <v>26</v>
      </c>
      <c r="D188" s="125" t="str">
        <f>Misc!C30</f>
        <v/>
      </c>
      <c r="E188" s="125" t="str">
        <f>Misc!F30</f>
        <v/>
      </c>
      <c r="F188" s="125">
        <f>Misc!G30</f>
        <v>0</v>
      </c>
      <c r="G188" s="126" t="str">
        <f>Misc!L30</f>
        <v/>
      </c>
      <c r="H188" s="142" t="str">
        <f>Misc!M30</f>
        <v/>
      </c>
      <c r="I188" s="128" t="str">
        <f>IFERROR(N188*MIN(Table_Measure_Caps[[#Totals],[Estimated Raw Incentive Total]], Table_Measure_Caps[[#Totals],[Gross Measure Cost Total]], Value_Project_CAP)/Table_Measure_Caps[[#Totals],[Estimated Raw Incentive Total]], "")</f>
        <v/>
      </c>
      <c r="J188" s="128">
        <f>Misc!H30</f>
        <v>0</v>
      </c>
      <c r="K188" s="125">
        <f>Misc!I30</f>
        <v>0</v>
      </c>
      <c r="L188" s="129" t="str">
        <f t="shared" si="5"/>
        <v>Version 3.1</v>
      </c>
      <c r="M188" s="130">
        <f>Misc!E30</f>
        <v>0</v>
      </c>
      <c r="N188" s="127" t="str">
        <f>Misc!K30</f>
        <v/>
      </c>
    </row>
    <row r="189" spans="1:14" x14ac:dyDescent="0.2">
      <c r="A189" s="124" t="s">
        <v>409</v>
      </c>
      <c r="B189" s="125">
        <f t="shared" si="7"/>
        <v>0</v>
      </c>
      <c r="C189" s="125">
        <v>27</v>
      </c>
      <c r="D189" s="125" t="str">
        <f>Misc!C31</f>
        <v/>
      </c>
      <c r="E189" s="125" t="str">
        <f>Misc!F31</f>
        <v/>
      </c>
      <c r="F189" s="125">
        <f>Misc!G31</f>
        <v>0</v>
      </c>
      <c r="G189" s="126" t="str">
        <f>Misc!L31</f>
        <v/>
      </c>
      <c r="H189" s="142" t="str">
        <f>Misc!M31</f>
        <v/>
      </c>
      <c r="I189" s="128" t="str">
        <f>IFERROR(N189*MIN(Table_Measure_Caps[[#Totals],[Estimated Raw Incentive Total]], Table_Measure_Caps[[#Totals],[Gross Measure Cost Total]], Value_Project_CAP)/Table_Measure_Caps[[#Totals],[Estimated Raw Incentive Total]], "")</f>
        <v/>
      </c>
      <c r="J189" s="128">
        <f>Misc!H31</f>
        <v>0</v>
      </c>
      <c r="K189" s="125">
        <f>Misc!I31</f>
        <v>0</v>
      </c>
      <c r="L189" s="129" t="str">
        <f t="shared" si="5"/>
        <v>Version 3.1</v>
      </c>
      <c r="M189" s="130">
        <f>Misc!E31</f>
        <v>0</v>
      </c>
      <c r="N189" s="127" t="str">
        <f>Misc!K31</f>
        <v/>
      </c>
    </row>
    <row r="190" spans="1:14" x14ac:dyDescent="0.2">
      <c r="A190" s="124" t="s">
        <v>409</v>
      </c>
      <c r="B190" s="125">
        <f t="shared" si="7"/>
        <v>0</v>
      </c>
      <c r="C190" s="125">
        <v>28</v>
      </c>
      <c r="D190" s="125" t="str">
        <f>Misc!C32</f>
        <v/>
      </c>
      <c r="E190" s="125" t="str">
        <f>Misc!F32</f>
        <v/>
      </c>
      <c r="F190" s="125">
        <f>Misc!G32</f>
        <v>0</v>
      </c>
      <c r="G190" s="126" t="str">
        <f>Misc!L32</f>
        <v/>
      </c>
      <c r="H190" s="142" t="str">
        <f>Misc!M32</f>
        <v/>
      </c>
      <c r="I190" s="128" t="str">
        <f>IFERROR(N190*MIN(Table_Measure_Caps[[#Totals],[Estimated Raw Incentive Total]], Table_Measure_Caps[[#Totals],[Gross Measure Cost Total]], Value_Project_CAP)/Table_Measure_Caps[[#Totals],[Estimated Raw Incentive Total]], "")</f>
        <v/>
      </c>
      <c r="J190" s="128">
        <f>Misc!H32</f>
        <v>0</v>
      </c>
      <c r="K190" s="125">
        <f>Misc!I32</f>
        <v>0</v>
      </c>
      <c r="L190" s="129" t="str">
        <f t="shared" si="5"/>
        <v>Version 3.1</v>
      </c>
      <c r="M190" s="130">
        <f>Misc!E32</f>
        <v>0</v>
      </c>
      <c r="N190" s="127" t="str">
        <f>Misc!K32</f>
        <v/>
      </c>
    </row>
    <row r="191" spans="1:14" x14ac:dyDescent="0.2">
      <c r="A191" s="124" t="s">
        <v>409</v>
      </c>
      <c r="B191" s="125">
        <f t="shared" si="7"/>
        <v>0</v>
      </c>
      <c r="C191" s="125">
        <v>29</v>
      </c>
      <c r="D191" s="125" t="str">
        <f>Misc!C33</f>
        <v/>
      </c>
      <c r="E191" s="125" t="str">
        <f>Misc!F33</f>
        <v/>
      </c>
      <c r="F191" s="125">
        <f>Misc!G33</f>
        <v>0</v>
      </c>
      <c r="G191" s="126" t="str">
        <f>Misc!L33</f>
        <v/>
      </c>
      <c r="H191" s="142" t="str">
        <f>Misc!M33</f>
        <v/>
      </c>
      <c r="I191" s="128" t="str">
        <f>IFERROR(N191*MIN(Table_Measure_Caps[[#Totals],[Estimated Raw Incentive Total]], Table_Measure_Caps[[#Totals],[Gross Measure Cost Total]], Value_Project_CAP)/Table_Measure_Caps[[#Totals],[Estimated Raw Incentive Total]], "")</f>
        <v/>
      </c>
      <c r="J191" s="128">
        <f>Misc!H33</f>
        <v>0</v>
      </c>
      <c r="K191" s="125">
        <f>Misc!I33</f>
        <v>0</v>
      </c>
      <c r="L191" s="129" t="str">
        <f t="shared" si="5"/>
        <v>Version 3.1</v>
      </c>
      <c r="M191" s="130">
        <f>Misc!E33</f>
        <v>0</v>
      </c>
      <c r="N191" s="127" t="str">
        <f>Misc!K33</f>
        <v/>
      </c>
    </row>
    <row r="192" spans="1:14" x14ac:dyDescent="0.2">
      <c r="A192" s="124" t="s">
        <v>409</v>
      </c>
      <c r="B192" s="125">
        <f t="shared" si="7"/>
        <v>0</v>
      </c>
      <c r="C192" s="125">
        <v>30</v>
      </c>
      <c r="D192" s="125" t="str">
        <f>Misc!C34</f>
        <v/>
      </c>
      <c r="E192" s="125" t="str">
        <f>Misc!F34</f>
        <v/>
      </c>
      <c r="F192" s="125">
        <f>Misc!G34</f>
        <v>0</v>
      </c>
      <c r="G192" s="126" t="str">
        <f>Misc!L34</f>
        <v/>
      </c>
      <c r="H192" s="142" t="str">
        <f>Misc!M34</f>
        <v/>
      </c>
      <c r="I192" s="128" t="str">
        <f>IFERROR(N192*MIN(Table_Measure_Caps[[#Totals],[Estimated Raw Incentive Total]], Table_Measure_Caps[[#Totals],[Gross Measure Cost Total]], Value_Project_CAP)/Table_Measure_Caps[[#Totals],[Estimated Raw Incentive Total]], "")</f>
        <v/>
      </c>
      <c r="J192" s="128">
        <f>Misc!H34</f>
        <v>0</v>
      </c>
      <c r="K192" s="125">
        <f>Misc!I34</f>
        <v>0</v>
      </c>
      <c r="L192" s="129" t="str">
        <f t="shared" si="5"/>
        <v>Version 3.1</v>
      </c>
      <c r="M192" s="130">
        <f>Misc!E34</f>
        <v>0</v>
      </c>
      <c r="N192" s="127" t="str">
        <f>Misc!K34</f>
        <v/>
      </c>
    </row>
    <row r="193" spans="1:14" x14ac:dyDescent="0.2">
      <c r="A193" s="131" t="s">
        <v>410</v>
      </c>
      <c r="B193" s="132">
        <f t="shared" si="7"/>
        <v>0</v>
      </c>
      <c r="C193" s="132">
        <v>1</v>
      </c>
      <c r="D193" s="132" t="str">
        <f>Custom!C5</f>
        <v/>
      </c>
      <c r="E193" s="132"/>
      <c r="F193" s="132"/>
      <c r="G193" s="133" t="str">
        <f>Custom!S5</f>
        <v/>
      </c>
      <c r="H193" s="143" t="str">
        <f>Custom!T5</f>
        <v/>
      </c>
      <c r="I193" s="135" t="str">
        <f>IFERROR(N193*MIN(Table_Measure_Caps[[#Totals],[Estimated Raw Incentive Total]], Table_Measure_Caps[[#Totals],[Gross Measure Cost Total]], Value_Project_CAP)/Table_Measure_Caps[[#Totals],[Estimated Raw Incentive Total]], "")</f>
        <v/>
      </c>
      <c r="J193" s="135">
        <f>Custom!P5</f>
        <v>0</v>
      </c>
      <c r="K193" s="132">
        <f>Custom!Q5</f>
        <v>0</v>
      </c>
      <c r="L193" s="136" t="str">
        <f t="shared" si="5"/>
        <v>Version 3.1</v>
      </c>
      <c r="M193" s="137">
        <f>Custom!G5</f>
        <v>0</v>
      </c>
      <c r="N193" s="134" t="str">
        <f>Custom!R5</f>
        <v/>
      </c>
    </row>
    <row r="194" spans="1:14" x14ac:dyDescent="0.2">
      <c r="A194" s="131" t="s">
        <v>410</v>
      </c>
      <c r="B194" s="132">
        <f t="shared" si="7"/>
        <v>0</v>
      </c>
      <c r="C194" s="132">
        <v>2</v>
      </c>
      <c r="D194" s="132" t="str">
        <f>Custom!C6</f>
        <v/>
      </c>
      <c r="E194" s="132"/>
      <c r="F194" s="132"/>
      <c r="G194" s="133" t="str">
        <f>Custom!S6</f>
        <v/>
      </c>
      <c r="H194" s="143" t="str">
        <f>Custom!T6</f>
        <v/>
      </c>
      <c r="I194" s="135" t="str">
        <f>IFERROR(N194*MIN(Table_Measure_Caps[[#Totals],[Estimated Raw Incentive Total]], Table_Measure_Caps[[#Totals],[Gross Measure Cost Total]], Value_Project_CAP)/Table_Measure_Caps[[#Totals],[Estimated Raw Incentive Total]], "")</f>
        <v/>
      </c>
      <c r="J194" s="135">
        <f>Custom!P6</f>
        <v>0</v>
      </c>
      <c r="K194" s="132">
        <f>Custom!Q6</f>
        <v>0</v>
      </c>
      <c r="L194" s="136" t="str">
        <f t="shared" ref="L194:L212" si="8">Value_Application_Version</f>
        <v>Version 3.1</v>
      </c>
      <c r="M194" s="137">
        <f>Custom!G6</f>
        <v>0</v>
      </c>
      <c r="N194" s="134" t="str">
        <f>Custom!R6</f>
        <v/>
      </c>
    </row>
    <row r="195" spans="1:14" x14ac:dyDescent="0.2">
      <c r="A195" s="131" t="s">
        <v>410</v>
      </c>
      <c r="B195" s="132">
        <f t="shared" si="7"/>
        <v>0</v>
      </c>
      <c r="C195" s="132">
        <v>3</v>
      </c>
      <c r="D195" s="132" t="str">
        <f>Custom!C7</f>
        <v/>
      </c>
      <c r="E195" s="132"/>
      <c r="F195" s="132"/>
      <c r="G195" s="133" t="str">
        <f>Custom!S7</f>
        <v/>
      </c>
      <c r="H195" s="143" t="str">
        <f>Custom!T7</f>
        <v/>
      </c>
      <c r="I195" s="135" t="str">
        <f>IFERROR(N195*MIN(Table_Measure_Caps[[#Totals],[Estimated Raw Incentive Total]], Table_Measure_Caps[[#Totals],[Gross Measure Cost Total]], Value_Project_CAP)/Table_Measure_Caps[[#Totals],[Estimated Raw Incentive Total]], "")</f>
        <v/>
      </c>
      <c r="J195" s="135">
        <f>Custom!P7</f>
        <v>0</v>
      </c>
      <c r="K195" s="132">
        <f>Custom!Q7</f>
        <v>0</v>
      </c>
      <c r="L195" s="136" t="str">
        <f t="shared" si="8"/>
        <v>Version 3.1</v>
      </c>
      <c r="M195" s="137">
        <f>Custom!G7</f>
        <v>0</v>
      </c>
      <c r="N195" s="134" t="str">
        <f>Custom!R7</f>
        <v/>
      </c>
    </row>
    <row r="196" spans="1:14" x14ac:dyDescent="0.2">
      <c r="A196" s="131" t="s">
        <v>410</v>
      </c>
      <c r="B196" s="132">
        <f t="shared" si="7"/>
        <v>0</v>
      </c>
      <c r="C196" s="132">
        <v>4</v>
      </c>
      <c r="D196" s="132" t="str">
        <f>Custom!C8</f>
        <v/>
      </c>
      <c r="E196" s="132"/>
      <c r="F196" s="132"/>
      <c r="G196" s="133" t="str">
        <f>Custom!S8</f>
        <v/>
      </c>
      <c r="H196" s="143" t="str">
        <f>Custom!T8</f>
        <v/>
      </c>
      <c r="I196" s="135" t="str">
        <f>IFERROR(N196*MIN(Table_Measure_Caps[[#Totals],[Estimated Raw Incentive Total]], Table_Measure_Caps[[#Totals],[Gross Measure Cost Total]], Value_Project_CAP)/Table_Measure_Caps[[#Totals],[Estimated Raw Incentive Total]], "")</f>
        <v/>
      </c>
      <c r="J196" s="135">
        <f>Custom!P8</f>
        <v>0</v>
      </c>
      <c r="K196" s="132">
        <f>Custom!Q8</f>
        <v>0</v>
      </c>
      <c r="L196" s="136" t="str">
        <f t="shared" si="8"/>
        <v>Version 3.1</v>
      </c>
      <c r="M196" s="137">
        <f>Custom!G8</f>
        <v>0</v>
      </c>
      <c r="N196" s="134" t="str">
        <f>Custom!R8</f>
        <v/>
      </c>
    </row>
    <row r="197" spans="1:14" x14ac:dyDescent="0.2">
      <c r="A197" s="131" t="s">
        <v>410</v>
      </c>
      <c r="B197" s="132">
        <f t="shared" ref="B197:B212" si="9">Input_ProjectNumber</f>
        <v>0</v>
      </c>
      <c r="C197" s="132">
        <v>5</v>
      </c>
      <c r="D197" s="132" t="str">
        <f>Custom!C9</f>
        <v/>
      </c>
      <c r="E197" s="132"/>
      <c r="F197" s="132"/>
      <c r="G197" s="133" t="str">
        <f>Custom!S9</f>
        <v/>
      </c>
      <c r="H197" s="143" t="str">
        <f>Custom!T9</f>
        <v/>
      </c>
      <c r="I197" s="135" t="str">
        <f>IFERROR(N197*MIN(Table_Measure_Caps[[#Totals],[Estimated Raw Incentive Total]], Table_Measure_Caps[[#Totals],[Gross Measure Cost Total]], Value_Project_CAP)/Table_Measure_Caps[[#Totals],[Estimated Raw Incentive Total]], "")</f>
        <v/>
      </c>
      <c r="J197" s="135">
        <f>Custom!P9</f>
        <v>0</v>
      </c>
      <c r="K197" s="132">
        <f>Custom!Q9</f>
        <v>0</v>
      </c>
      <c r="L197" s="136" t="str">
        <f t="shared" si="8"/>
        <v>Version 3.1</v>
      </c>
      <c r="M197" s="137">
        <f>Custom!G9</f>
        <v>0</v>
      </c>
      <c r="N197" s="134" t="str">
        <f>Custom!R9</f>
        <v/>
      </c>
    </row>
    <row r="198" spans="1:14" x14ac:dyDescent="0.2">
      <c r="A198" s="131" t="s">
        <v>410</v>
      </c>
      <c r="B198" s="132">
        <f t="shared" si="9"/>
        <v>0</v>
      </c>
      <c r="C198" s="132">
        <v>6</v>
      </c>
      <c r="D198" s="132" t="str">
        <f>Custom!C10</f>
        <v/>
      </c>
      <c r="E198" s="132"/>
      <c r="F198" s="132"/>
      <c r="G198" s="133" t="str">
        <f>Custom!S10</f>
        <v/>
      </c>
      <c r="H198" s="143" t="str">
        <f>Custom!T10</f>
        <v/>
      </c>
      <c r="I198" s="135" t="str">
        <f>IFERROR(N198*MIN(Table_Measure_Caps[[#Totals],[Estimated Raw Incentive Total]], Table_Measure_Caps[[#Totals],[Gross Measure Cost Total]], Value_Project_CAP)/Table_Measure_Caps[[#Totals],[Estimated Raw Incentive Total]], "")</f>
        <v/>
      </c>
      <c r="J198" s="135">
        <f>Custom!P10</f>
        <v>0</v>
      </c>
      <c r="K198" s="132">
        <f>Custom!Q10</f>
        <v>0</v>
      </c>
      <c r="L198" s="136" t="str">
        <f t="shared" si="8"/>
        <v>Version 3.1</v>
      </c>
      <c r="M198" s="137">
        <f>Custom!G10</f>
        <v>0</v>
      </c>
      <c r="N198" s="134" t="str">
        <f>Custom!R10</f>
        <v/>
      </c>
    </row>
    <row r="199" spans="1:14" x14ac:dyDescent="0.2">
      <c r="A199" s="131" t="s">
        <v>410</v>
      </c>
      <c r="B199" s="132">
        <f t="shared" si="9"/>
        <v>0</v>
      </c>
      <c r="C199" s="132">
        <v>7</v>
      </c>
      <c r="D199" s="132" t="str">
        <f>Custom!C11</f>
        <v/>
      </c>
      <c r="E199" s="132"/>
      <c r="F199" s="132"/>
      <c r="G199" s="133" t="str">
        <f>Custom!S11</f>
        <v/>
      </c>
      <c r="H199" s="143" t="str">
        <f>Custom!T11</f>
        <v/>
      </c>
      <c r="I199" s="135" t="str">
        <f>IFERROR(N199*MIN(Table_Measure_Caps[[#Totals],[Estimated Raw Incentive Total]], Table_Measure_Caps[[#Totals],[Gross Measure Cost Total]], Value_Project_CAP)/Table_Measure_Caps[[#Totals],[Estimated Raw Incentive Total]], "")</f>
        <v/>
      </c>
      <c r="J199" s="135">
        <f>Custom!P11</f>
        <v>0</v>
      </c>
      <c r="K199" s="132">
        <f>Custom!Q11</f>
        <v>0</v>
      </c>
      <c r="L199" s="136" t="str">
        <f t="shared" si="8"/>
        <v>Version 3.1</v>
      </c>
      <c r="M199" s="137">
        <f>Custom!G11</f>
        <v>0</v>
      </c>
      <c r="N199" s="134" t="str">
        <f>Custom!R11</f>
        <v/>
      </c>
    </row>
    <row r="200" spans="1:14" x14ac:dyDescent="0.2">
      <c r="A200" s="131" t="s">
        <v>410</v>
      </c>
      <c r="B200" s="132">
        <f t="shared" si="9"/>
        <v>0</v>
      </c>
      <c r="C200" s="132">
        <v>8</v>
      </c>
      <c r="D200" s="132" t="str">
        <f>Custom!C12</f>
        <v/>
      </c>
      <c r="E200" s="132"/>
      <c r="F200" s="132"/>
      <c r="G200" s="133" t="str">
        <f>Custom!S12</f>
        <v/>
      </c>
      <c r="H200" s="143" t="str">
        <f>Custom!T12</f>
        <v/>
      </c>
      <c r="I200" s="135" t="str">
        <f>IFERROR(N200*MIN(Table_Measure_Caps[[#Totals],[Estimated Raw Incentive Total]], Table_Measure_Caps[[#Totals],[Gross Measure Cost Total]], Value_Project_CAP)/Table_Measure_Caps[[#Totals],[Estimated Raw Incentive Total]], "")</f>
        <v/>
      </c>
      <c r="J200" s="135">
        <f>Custom!P12</f>
        <v>0</v>
      </c>
      <c r="K200" s="132">
        <f>Custom!Q12</f>
        <v>0</v>
      </c>
      <c r="L200" s="136" t="str">
        <f t="shared" si="8"/>
        <v>Version 3.1</v>
      </c>
      <c r="M200" s="137">
        <f>Custom!G12</f>
        <v>0</v>
      </c>
      <c r="N200" s="134" t="str">
        <f>Custom!R12</f>
        <v/>
      </c>
    </row>
    <row r="201" spans="1:14" x14ac:dyDescent="0.2">
      <c r="A201" s="131" t="s">
        <v>410</v>
      </c>
      <c r="B201" s="132">
        <f t="shared" si="9"/>
        <v>0</v>
      </c>
      <c r="C201" s="132">
        <v>9</v>
      </c>
      <c r="D201" s="132" t="str">
        <f>Custom!C13</f>
        <v/>
      </c>
      <c r="E201" s="132"/>
      <c r="F201" s="132"/>
      <c r="G201" s="133" t="str">
        <f>Custom!S13</f>
        <v/>
      </c>
      <c r="H201" s="143" t="str">
        <f>Custom!T13</f>
        <v/>
      </c>
      <c r="I201" s="135" t="str">
        <f>IFERROR(N201*MIN(Table_Measure_Caps[[#Totals],[Estimated Raw Incentive Total]], Table_Measure_Caps[[#Totals],[Gross Measure Cost Total]], Value_Project_CAP)/Table_Measure_Caps[[#Totals],[Estimated Raw Incentive Total]], "")</f>
        <v/>
      </c>
      <c r="J201" s="135">
        <f>Custom!P13</f>
        <v>0</v>
      </c>
      <c r="K201" s="132">
        <f>Custom!Q13</f>
        <v>0</v>
      </c>
      <c r="L201" s="136" t="str">
        <f t="shared" si="8"/>
        <v>Version 3.1</v>
      </c>
      <c r="M201" s="137">
        <f>Custom!G13</f>
        <v>0</v>
      </c>
      <c r="N201" s="134" t="str">
        <f>Custom!R13</f>
        <v/>
      </c>
    </row>
    <row r="202" spans="1:14" x14ac:dyDescent="0.2">
      <c r="A202" s="131" t="s">
        <v>410</v>
      </c>
      <c r="B202" s="132">
        <f t="shared" si="9"/>
        <v>0</v>
      </c>
      <c r="C202" s="132">
        <v>10</v>
      </c>
      <c r="D202" s="132" t="str">
        <f>Custom!C14</f>
        <v/>
      </c>
      <c r="E202" s="132"/>
      <c r="F202" s="132"/>
      <c r="G202" s="133" t="str">
        <f>Custom!S14</f>
        <v/>
      </c>
      <c r="H202" s="143" t="str">
        <f>Custom!T14</f>
        <v/>
      </c>
      <c r="I202" s="135" t="str">
        <f>IFERROR(N202*MIN(Table_Measure_Caps[[#Totals],[Estimated Raw Incentive Total]], Table_Measure_Caps[[#Totals],[Gross Measure Cost Total]], Value_Project_CAP)/Table_Measure_Caps[[#Totals],[Estimated Raw Incentive Total]], "")</f>
        <v/>
      </c>
      <c r="J202" s="135">
        <f>Custom!P14</f>
        <v>0</v>
      </c>
      <c r="K202" s="132">
        <f>Custom!Q14</f>
        <v>0</v>
      </c>
      <c r="L202" s="136" t="str">
        <f t="shared" si="8"/>
        <v>Version 3.1</v>
      </c>
      <c r="M202" s="137">
        <f>Custom!G14</f>
        <v>0</v>
      </c>
      <c r="N202" s="134" t="str">
        <f>Custom!R14</f>
        <v/>
      </c>
    </row>
    <row r="203" spans="1:14" x14ac:dyDescent="0.2">
      <c r="A203" s="131" t="s">
        <v>410</v>
      </c>
      <c r="B203" s="132">
        <f t="shared" si="9"/>
        <v>0</v>
      </c>
      <c r="C203" s="132">
        <v>11</v>
      </c>
      <c r="D203" s="132" t="str">
        <f>Custom!C15</f>
        <v/>
      </c>
      <c r="E203" s="132"/>
      <c r="F203" s="132"/>
      <c r="G203" s="133" t="str">
        <f>Custom!S15</f>
        <v/>
      </c>
      <c r="H203" s="143" t="str">
        <f>Custom!T15</f>
        <v/>
      </c>
      <c r="I203" s="135" t="str">
        <f>IFERROR(N203*MIN(Table_Measure_Caps[[#Totals],[Estimated Raw Incentive Total]], Table_Measure_Caps[[#Totals],[Gross Measure Cost Total]], Value_Project_CAP)/Table_Measure_Caps[[#Totals],[Estimated Raw Incentive Total]], "")</f>
        <v/>
      </c>
      <c r="J203" s="135">
        <f>Custom!P15</f>
        <v>0</v>
      </c>
      <c r="K203" s="132">
        <f>Custom!Q15</f>
        <v>0</v>
      </c>
      <c r="L203" s="136" t="str">
        <f t="shared" si="8"/>
        <v>Version 3.1</v>
      </c>
      <c r="M203" s="137">
        <f>Custom!G15</f>
        <v>0</v>
      </c>
      <c r="N203" s="134" t="str">
        <f>Custom!R15</f>
        <v/>
      </c>
    </row>
    <row r="204" spans="1:14" x14ac:dyDescent="0.2">
      <c r="A204" s="131" t="s">
        <v>410</v>
      </c>
      <c r="B204" s="132">
        <f t="shared" si="9"/>
        <v>0</v>
      </c>
      <c r="C204" s="132">
        <v>12</v>
      </c>
      <c r="D204" s="132" t="str">
        <f>Custom!C16</f>
        <v/>
      </c>
      <c r="E204" s="132"/>
      <c r="F204" s="132"/>
      <c r="G204" s="133" t="str">
        <f>Custom!S16</f>
        <v/>
      </c>
      <c r="H204" s="143" t="str">
        <f>Custom!T16</f>
        <v/>
      </c>
      <c r="I204" s="135" t="str">
        <f>IFERROR(N204*MIN(Table_Measure_Caps[[#Totals],[Estimated Raw Incentive Total]], Table_Measure_Caps[[#Totals],[Gross Measure Cost Total]], Value_Project_CAP)/Table_Measure_Caps[[#Totals],[Estimated Raw Incentive Total]], "")</f>
        <v/>
      </c>
      <c r="J204" s="135">
        <f>Custom!P16</f>
        <v>0</v>
      </c>
      <c r="K204" s="132">
        <f>Custom!Q16</f>
        <v>0</v>
      </c>
      <c r="L204" s="136" t="str">
        <f t="shared" si="8"/>
        <v>Version 3.1</v>
      </c>
      <c r="M204" s="137">
        <f>Custom!G16</f>
        <v>0</v>
      </c>
      <c r="N204" s="134" t="str">
        <f>Custom!R16</f>
        <v/>
      </c>
    </row>
    <row r="205" spans="1:14" x14ac:dyDescent="0.2">
      <c r="A205" s="131" t="s">
        <v>410</v>
      </c>
      <c r="B205" s="132">
        <f t="shared" si="9"/>
        <v>0</v>
      </c>
      <c r="C205" s="132">
        <v>13</v>
      </c>
      <c r="D205" s="132" t="str">
        <f>Custom!C17</f>
        <v/>
      </c>
      <c r="E205" s="132"/>
      <c r="F205" s="132"/>
      <c r="G205" s="133" t="str">
        <f>Custom!S17</f>
        <v/>
      </c>
      <c r="H205" s="143" t="str">
        <f>Custom!T17</f>
        <v/>
      </c>
      <c r="I205" s="135" t="str">
        <f>IFERROR(N205*MIN(Table_Measure_Caps[[#Totals],[Estimated Raw Incentive Total]], Table_Measure_Caps[[#Totals],[Gross Measure Cost Total]], Value_Project_CAP)/Table_Measure_Caps[[#Totals],[Estimated Raw Incentive Total]], "")</f>
        <v/>
      </c>
      <c r="J205" s="135">
        <f>Custom!P17</f>
        <v>0</v>
      </c>
      <c r="K205" s="132">
        <f>Custom!Q17</f>
        <v>0</v>
      </c>
      <c r="L205" s="136" t="str">
        <f t="shared" si="8"/>
        <v>Version 3.1</v>
      </c>
      <c r="M205" s="137">
        <f>Custom!G17</f>
        <v>0</v>
      </c>
      <c r="N205" s="134" t="str">
        <f>Custom!R17</f>
        <v/>
      </c>
    </row>
    <row r="206" spans="1:14" x14ac:dyDescent="0.2">
      <c r="A206" s="131" t="s">
        <v>410</v>
      </c>
      <c r="B206" s="132">
        <f t="shared" si="9"/>
        <v>0</v>
      </c>
      <c r="C206" s="132">
        <v>14</v>
      </c>
      <c r="D206" s="132" t="str">
        <f>Custom!C18</f>
        <v/>
      </c>
      <c r="E206" s="132"/>
      <c r="F206" s="132"/>
      <c r="G206" s="133" t="str">
        <f>Custom!S18</f>
        <v/>
      </c>
      <c r="H206" s="143" t="str">
        <f>Custom!T18</f>
        <v/>
      </c>
      <c r="I206" s="135" t="str">
        <f>IFERROR(N206*MIN(Table_Measure_Caps[[#Totals],[Estimated Raw Incentive Total]], Table_Measure_Caps[[#Totals],[Gross Measure Cost Total]], Value_Project_CAP)/Table_Measure_Caps[[#Totals],[Estimated Raw Incentive Total]], "")</f>
        <v/>
      </c>
      <c r="J206" s="135">
        <f>Custom!P18</f>
        <v>0</v>
      </c>
      <c r="K206" s="132">
        <f>Custom!Q18</f>
        <v>0</v>
      </c>
      <c r="L206" s="136" t="str">
        <f t="shared" si="8"/>
        <v>Version 3.1</v>
      </c>
      <c r="M206" s="137">
        <f>Custom!G18</f>
        <v>0</v>
      </c>
      <c r="N206" s="134" t="str">
        <f>Custom!R18</f>
        <v/>
      </c>
    </row>
    <row r="207" spans="1:14" x14ac:dyDescent="0.2">
      <c r="A207" s="131" t="s">
        <v>410</v>
      </c>
      <c r="B207" s="132">
        <f t="shared" si="9"/>
        <v>0</v>
      </c>
      <c r="C207" s="132">
        <v>15</v>
      </c>
      <c r="D207" s="132" t="str">
        <f>Custom!C19</f>
        <v/>
      </c>
      <c r="E207" s="132"/>
      <c r="F207" s="132"/>
      <c r="G207" s="133" t="str">
        <f>Custom!S19</f>
        <v/>
      </c>
      <c r="H207" s="143" t="str">
        <f>Custom!T19</f>
        <v/>
      </c>
      <c r="I207" s="135" t="str">
        <f>IFERROR(N207*MIN(Table_Measure_Caps[[#Totals],[Estimated Raw Incentive Total]], Table_Measure_Caps[[#Totals],[Gross Measure Cost Total]], Value_Project_CAP)/Table_Measure_Caps[[#Totals],[Estimated Raw Incentive Total]], "")</f>
        <v/>
      </c>
      <c r="J207" s="135">
        <f>Custom!P19</f>
        <v>0</v>
      </c>
      <c r="K207" s="132">
        <f>Custom!Q19</f>
        <v>0</v>
      </c>
      <c r="L207" s="136" t="str">
        <f t="shared" si="8"/>
        <v>Version 3.1</v>
      </c>
      <c r="M207" s="137">
        <f>Custom!G19</f>
        <v>0</v>
      </c>
      <c r="N207" s="134" t="str">
        <f>Custom!R19</f>
        <v/>
      </c>
    </row>
    <row r="208" spans="1:14" x14ac:dyDescent="0.2">
      <c r="A208" s="131" t="s">
        <v>410</v>
      </c>
      <c r="B208" s="132">
        <f t="shared" si="9"/>
        <v>0</v>
      </c>
      <c r="C208" s="132">
        <v>16</v>
      </c>
      <c r="D208" s="132" t="str">
        <f>Custom!C20</f>
        <v/>
      </c>
      <c r="E208" s="132"/>
      <c r="F208" s="132"/>
      <c r="G208" s="133" t="str">
        <f>Custom!S20</f>
        <v/>
      </c>
      <c r="H208" s="143" t="str">
        <f>Custom!T20</f>
        <v/>
      </c>
      <c r="I208" s="135" t="str">
        <f>IFERROR(N208*MIN(Table_Measure_Caps[[#Totals],[Estimated Raw Incentive Total]], Table_Measure_Caps[[#Totals],[Gross Measure Cost Total]], Value_Project_CAP)/Table_Measure_Caps[[#Totals],[Estimated Raw Incentive Total]], "")</f>
        <v/>
      </c>
      <c r="J208" s="135">
        <f>Custom!P20</f>
        <v>0</v>
      </c>
      <c r="K208" s="132">
        <f>Custom!Q20</f>
        <v>0</v>
      </c>
      <c r="L208" s="136" t="str">
        <f t="shared" si="8"/>
        <v>Version 3.1</v>
      </c>
      <c r="M208" s="137">
        <f>Custom!G20</f>
        <v>0</v>
      </c>
      <c r="N208" s="134" t="str">
        <f>Custom!R20</f>
        <v/>
      </c>
    </row>
    <row r="209" spans="1:14" x14ac:dyDescent="0.2">
      <c r="A209" s="131" t="s">
        <v>410</v>
      </c>
      <c r="B209" s="132">
        <f t="shared" si="9"/>
        <v>0</v>
      </c>
      <c r="C209" s="132">
        <v>17</v>
      </c>
      <c r="D209" s="132" t="str">
        <f>Custom!C21</f>
        <v/>
      </c>
      <c r="E209" s="132"/>
      <c r="F209" s="132"/>
      <c r="G209" s="133" t="str">
        <f>Custom!S21</f>
        <v/>
      </c>
      <c r="H209" s="143" t="str">
        <f>Custom!T21</f>
        <v/>
      </c>
      <c r="I209" s="135" t="str">
        <f>IFERROR(N209*MIN(Table_Measure_Caps[[#Totals],[Estimated Raw Incentive Total]], Table_Measure_Caps[[#Totals],[Gross Measure Cost Total]], Value_Project_CAP)/Table_Measure_Caps[[#Totals],[Estimated Raw Incentive Total]], "")</f>
        <v/>
      </c>
      <c r="J209" s="135">
        <f>Custom!P21</f>
        <v>0</v>
      </c>
      <c r="K209" s="132">
        <f>Custom!Q21</f>
        <v>0</v>
      </c>
      <c r="L209" s="136" t="str">
        <f t="shared" si="8"/>
        <v>Version 3.1</v>
      </c>
      <c r="M209" s="137">
        <f>Custom!G21</f>
        <v>0</v>
      </c>
      <c r="N209" s="134" t="str">
        <f>Custom!R21</f>
        <v/>
      </c>
    </row>
    <row r="210" spans="1:14" x14ac:dyDescent="0.2">
      <c r="A210" s="131" t="s">
        <v>410</v>
      </c>
      <c r="B210" s="132">
        <f t="shared" si="9"/>
        <v>0</v>
      </c>
      <c r="C210" s="132">
        <v>18</v>
      </c>
      <c r="D210" s="132" t="str">
        <f>Custom!C22</f>
        <v/>
      </c>
      <c r="E210" s="132"/>
      <c r="F210" s="132"/>
      <c r="G210" s="133" t="str">
        <f>Custom!S22</f>
        <v/>
      </c>
      <c r="H210" s="143" t="str">
        <f>Custom!T22</f>
        <v/>
      </c>
      <c r="I210" s="135" t="str">
        <f>IFERROR(N210*MIN(Table_Measure_Caps[[#Totals],[Estimated Raw Incentive Total]], Table_Measure_Caps[[#Totals],[Gross Measure Cost Total]], Value_Project_CAP)/Table_Measure_Caps[[#Totals],[Estimated Raw Incentive Total]], "")</f>
        <v/>
      </c>
      <c r="J210" s="135">
        <f>Custom!P22</f>
        <v>0</v>
      </c>
      <c r="K210" s="132">
        <f>Custom!Q22</f>
        <v>0</v>
      </c>
      <c r="L210" s="136" t="str">
        <f t="shared" si="8"/>
        <v>Version 3.1</v>
      </c>
      <c r="M210" s="137">
        <f>Custom!G22</f>
        <v>0</v>
      </c>
      <c r="N210" s="134" t="str">
        <f>Custom!R22</f>
        <v/>
      </c>
    </row>
    <row r="211" spans="1:14" x14ac:dyDescent="0.2">
      <c r="A211" s="131" t="s">
        <v>410</v>
      </c>
      <c r="B211" s="132">
        <f t="shared" si="9"/>
        <v>0</v>
      </c>
      <c r="C211" s="132">
        <v>19</v>
      </c>
      <c r="D211" s="132" t="str">
        <f>Custom!C23</f>
        <v/>
      </c>
      <c r="E211" s="132"/>
      <c r="F211" s="132"/>
      <c r="G211" s="133" t="str">
        <f>Custom!S23</f>
        <v/>
      </c>
      <c r="H211" s="143" t="str">
        <f>Custom!T23</f>
        <v/>
      </c>
      <c r="I211" s="135" t="str">
        <f>IFERROR(N211*MIN(Table_Measure_Caps[[#Totals],[Estimated Raw Incentive Total]], Table_Measure_Caps[[#Totals],[Gross Measure Cost Total]], Value_Project_CAP)/Table_Measure_Caps[[#Totals],[Estimated Raw Incentive Total]], "")</f>
        <v/>
      </c>
      <c r="J211" s="135">
        <f>Custom!P23</f>
        <v>0</v>
      </c>
      <c r="K211" s="132">
        <f>Custom!Q23</f>
        <v>0</v>
      </c>
      <c r="L211" s="136" t="str">
        <f t="shared" si="8"/>
        <v>Version 3.1</v>
      </c>
      <c r="M211" s="137">
        <f>Custom!G23</f>
        <v>0</v>
      </c>
      <c r="N211" s="134" t="str">
        <f>Custom!R23</f>
        <v/>
      </c>
    </row>
    <row r="212" spans="1:14" x14ac:dyDescent="0.2">
      <c r="A212" s="131" t="s">
        <v>410</v>
      </c>
      <c r="B212" s="132">
        <f t="shared" si="9"/>
        <v>0</v>
      </c>
      <c r="C212" s="132">
        <v>20</v>
      </c>
      <c r="D212" s="132" t="str">
        <f>Custom!C24</f>
        <v/>
      </c>
      <c r="E212" s="132"/>
      <c r="F212" s="132"/>
      <c r="G212" s="133" t="str">
        <f>Custom!S24</f>
        <v/>
      </c>
      <c r="H212" s="143" t="str">
        <f>Custom!T24</f>
        <v/>
      </c>
      <c r="I212" s="135" t="str">
        <f>IFERROR(N212*MIN(Table_Measure_Caps[[#Totals],[Estimated Raw Incentive Total]], Table_Measure_Caps[[#Totals],[Gross Measure Cost Total]], Value_Project_CAP)/Table_Measure_Caps[[#Totals],[Estimated Raw Incentive Total]], "")</f>
        <v/>
      </c>
      <c r="J212" s="135">
        <f>Custom!P24</f>
        <v>0</v>
      </c>
      <c r="K212" s="132">
        <f>Custom!Q24</f>
        <v>0</v>
      </c>
      <c r="L212" s="136" t="str">
        <f t="shared" si="8"/>
        <v>Version 3.1</v>
      </c>
      <c r="M212" s="137">
        <f>Custom!G24</f>
        <v>0</v>
      </c>
      <c r="N212" s="134" t="str">
        <f>Custom!R24</f>
        <v/>
      </c>
    </row>
  </sheetData>
  <conditionalFormatting sqref="A1:H1 J1:N1">
    <cfRule type="containsBlanks" dxfId="19" priority="3">
      <formula>LEN(TRIM(A1))=0</formula>
    </cfRule>
  </conditionalFormatting>
  <conditionalFormatting sqref="I1">
    <cfRule type="containsBlanks" dxfId="18" priority="1">
      <formula>LEN(TRIM(I1))=0</formula>
    </cfRule>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A9AE3-CEC9-4067-9447-DEB8AA30A8EF}">
  <sheetPr codeName="Sheet1">
    <tabColor theme="6"/>
    <pageSetUpPr fitToPage="1"/>
  </sheetPr>
  <dimension ref="B1:H54"/>
  <sheetViews>
    <sheetView showGridLines="0" showRowColHeaders="0" workbookViewId="0">
      <selection activeCell="C4" sqref="C4"/>
    </sheetView>
  </sheetViews>
  <sheetFormatPr defaultRowHeight="12.75" x14ac:dyDescent="0.2"/>
  <cols>
    <col min="1" max="1" width="2.28515625" customWidth="1"/>
    <col min="2" max="2" width="31.85546875" style="10" customWidth="1"/>
    <col min="3" max="3" width="39.140625" style="46" customWidth="1"/>
    <col min="4" max="4" width="1.7109375" customWidth="1"/>
    <col min="5" max="5" width="31.85546875" style="10" customWidth="1"/>
    <col min="6" max="6" width="39.140625" customWidth="1"/>
    <col min="8" max="8" width="45.85546875" customWidth="1"/>
  </cols>
  <sheetData>
    <row r="1" spans="2:8" ht="37.5" customHeight="1" x14ac:dyDescent="0.2">
      <c r="B1" s="253" t="s">
        <v>554</v>
      </c>
      <c r="C1" s="253"/>
      <c r="D1" s="253"/>
      <c r="E1" s="253"/>
      <c r="F1" s="151"/>
    </row>
    <row r="3" spans="2:8" ht="15.75" x14ac:dyDescent="0.2">
      <c r="B3" s="254" t="s">
        <v>12</v>
      </c>
      <c r="C3" s="254"/>
      <c r="E3" s="254" t="s">
        <v>13</v>
      </c>
      <c r="F3" s="254"/>
      <c r="H3" s="10"/>
    </row>
    <row r="4" spans="2:8" ht="12.75" customHeight="1" x14ac:dyDescent="0.2">
      <c r="B4" s="47" t="s">
        <v>14</v>
      </c>
      <c r="C4" s="49"/>
      <c r="E4" s="279" t="s">
        <v>15</v>
      </c>
      <c r="F4" s="280"/>
      <c r="H4" s="10"/>
    </row>
    <row r="5" spans="2:8" x14ac:dyDescent="0.2">
      <c r="B5" s="47" t="s">
        <v>16</v>
      </c>
      <c r="C5" s="49"/>
      <c r="E5" s="279"/>
      <c r="F5" s="280"/>
    </row>
    <row r="6" spans="2:8" ht="25.5" x14ac:dyDescent="0.2">
      <c r="B6" s="47" t="s">
        <v>17</v>
      </c>
      <c r="C6" s="49"/>
      <c r="E6" s="279"/>
      <c r="F6" s="280"/>
    </row>
    <row r="7" spans="2:8" x14ac:dyDescent="0.2">
      <c r="B7" s="47" t="s">
        <v>18</v>
      </c>
      <c r="C7" s="49"/>
      <c r="E7" s="279"/>
      <c r="F7" s="280"/>
    </row>
    <row r="8" spans="2:8" x14ac:dyDescent="0.2">
      <c r="B8" s="47" t="s">
        <v>19</v>
      </c>
      <c r="C8" s="49"/>
      <c r="E8" s="47" t="s">
        <v>20</v>
      </c>
      <c r="F8" s="50"/>
    </row>
    <row r="9" spans="2:8" x14ac:dyDescent="0.2">
      <c r="B9" s="47" t="s">
        <v>21</v>
      </c>
      <c r="C9" s="49"/>
      <c r="E9" s="47" t="s">
        <v>22</v>
      </c>
      <c r="F9" s="50"/>
    </row>
    <row r="10" spans="2:8" x14ac:dyDescent="0.2">
      <c r="B10" s="47" t="s">
        <v>23</v>
      </c>
      <c r="C10" s="49"/>
      <c r="E10" s="47" t="s">
        <v>24</v>
      </c>
      <c r="F10" s="49"/>
    </row>
    <row r="11" spans="2:8" x14ac:dyDescent="0.2">
      <c r="B11" s="47" t="s">
        <v>26</v>
      </c>
      <c r="C11" s="49"/>
      <c r="E11" s="47" t="s">
        <v>27</v>
      </c>
      <c r="F11" s="49"/>
    </row>
    <row r="12" spans="2:8" x14ac:dyDescent="0.2">
      <c r="B12" s="47" t="s">
        <v>29</v>
      </c>
      <c r="C12" s="49"/>
      <c r="E12" s="47" t="s">
        <v>30</v>
      </c>
      <c r="F12" s="49"/>
    </row>
    <row r="13" spans="2:8" ht="15.75" x14ac:dyDescent="0.2">
      <c r="B13" s="47" t="s">
        <v>31</v>
      </c>
      <c r="C13" s="49"/>
      <c r="E13" s="254" t="s">
        <v>32</v>
      </c>
      <c r="F13" s="254"/>
    </row>
    <row r="14" spans="2:8" ht="25.5" x14ac:dyDescent="0.2">
      <c r="B14" s="47" t="s">
        <v>33</v>
      </c>
      <c r="C14" s="49"/>
      <c r="D14" s="1"/>
      <c r="E14" s="47" t="s">
        <v>34</v>
      </c>
      <c r="F14" s="49"/>
    </row>
    <row r="15" spans="2:8" ht="15.75" x14ac:dyDescent="0.2">
      <c r="B15" s="254" t="s">
        <v>35</v>
      </c>
      <c r="C15" s="254"/>
      <c r="D15" s="1"/>
      <c r="E15" s="47" t="s">
        <v>36</v>
      </c>
      <c r="F15" s="49"/>
    </row>
    <row r="16" spans="2:8" x14ac:dyDescent="0.2">
      <c r="B16" s="47" t="s">
        <v>37</v>
      </c>
      <c r="C16" s="49"/>
      <c r="D16" s="1"/>
      <c r="E16" s="47" t="s">
        <v>38</v>
      </c>
      <c r="F16" s="49"/>
    </row>
    <row r="17" spans="2:6" x14ac:dyDescent="0.2">
      <c r="B17" s="47" t="s">
        <v>39</v>
      </c>
      <c r="C17" s="49"/>
      <c r="D17" s="1"/>
      <c r="E17" s="47" t="s">
        <v>18</v>
      </c>
      <c r="F17" s="49"/>
    </row>
    <row r="18" spans="2:6" x14ac:dyDescent="0.2">
      <c r="B18" s="47" t="s">
        <v>40</v>
      </c>
      <c r="C18" s="49"/>
      <c r="D18" s="1"/>
      <c r="E18" s="47" t="s">
        <v>19</v>
      </c>
      <c r="F18" s="49"/>
    </row>
    <row r="19" spans="2:6" x14ac:dyDescent="0.2">
      <c r="B19" s="47" t="s">
        <v>18</v>
      </c>
      <c r="C19" s="49"/>
      <c r="D19" s="1"/>
      <c r="E19" s="47" t="s">
        <v>41</v>
      </c>
      <c r="F19" s="49"/>
    </row>
    <row r="20" spans="2:6" x14ac:dyDescent="0.2">
      <c r="B20" s="47" t="s">
        <v>19</v>
      </c>
      <c r="C20" s="49"/>
      <c r="D20" s="1"/>
      <c r="E20" s="47" t="s">
        <v>23</v>
      </c>
      <c r="F20" s="49"/>
    </row>
    <row r="21" spans="2:6" x14ac:dyDescent="0.2">
      <c r="B21" s="47" t="s">
        <v>21</v>
      </c>
      <c r="C21" s="49"/>
      <c r="D21" s="1"/>
      <c r="E21" s="47" t="s">
        <v>42</v>
      </c>
      <c r="F21" s="49"/>
    </row>
    <row r="22" spans="2:6" x14ac:dyDescent="0.2">
      <c r="B22" s="47" t="s">
        <v>23</v>
      </c>
      <c r="C22" s="49"/>
      <c r="D22" s="1"/>
      <c r="E22" s="47" t="s">
        <v>43</v>
      </c>
      <c r="F22" s="49"/>
    </row>
    <row r="23" spans="2:6" x14ac:dyDescent="0.2">
      <c r="B23" s="47" t="s">
        <v>42</v>
      </c>
      <c r="C23" s="49"/>
      <c r="D23" s="1"/>
      <c r="E23" s="47" t="s">
        <v>44</v>
      </c>
      <c r="F23" s="49"/>
    </row>
    <row r="24" spans="2:6" x14ac:dyDescent="0.2">
      <c r="B24" s="47" t="s">
        <v>46</v>
      </c>
      <c r="C24" s="49"/>
      <c r="D24" s="1"/>
      <c r="E24" s="47" t="s">
        <v>47</v>
      </c>
      <c r="F24" s="49"/>
    </row>
    <row r="25" spans="2:6" ht="15.75" x14ac:dyDescent="0.2">
      <c r="B25" s="254" t="s">
        <v>48</v>
      </c>
      <c r="C25" s="254"/>
      <c r="D25" s="35"/>
      <c r="E25" s="47" t="s">
        <v>49</v>
      </c>
      <c r="F25" s="51"/>
    </row>
    <row r="26" spans="2:6" ht="25.5" x14ac:dyDescent="0.2">
      <c r="B26" s="47" t="s">
        <v>14</v>
      </c>
      <c r="C26" s="49"/>
      <c r="D26" s="35"/>
      <c r="E26" s="47" t="s">
        <v>50</v>
      </c>
      <c r="F26" s="49"/>
    </row>
    <row r="27" spans="2:6" x14ac:dyDescent="0.2">
      <c r="B27" s="47" t="s">
        <v>52</v>
      </c>
      <c r="C27" s="49"/>
      <c r="D27" s="1"/>
      <c r="E27" s="47" t="s">
        <v>53</v>
      </c>
      <c r="F27" s="52"/>
    </row>
    <row r="28" spans="2:6" x14ac:dyDescent="0.2">
      <c r="B28" s="47" t="s">
        <v>40</v>
      </c>
      <c r="C28" s="49"/>
      <c r="D28" s="1"/>
      <c r="E28" s="47" t="s">
        <v>54</v>
      </c>
      <c r="F28" s="49"/>
    </row>
    <row r="29" spans="2:6" x14ac:dyDescent="0.2">
      <c r="B29" s="47" t="s">
        <v>18</v>
      </c>
      <c r="C29" s="49"/>
      <c r="D29" s="35"/>
      <c r="E29" s="47" t="s">
        <v>56</v>
      </c>
      <c r="F29" s="49"/>
    </row>
    <row r="30" spans="2:6" x14ac:dyDescent="0.2">
      <c r="B30" s="47" t="s">
        <v>19</v>
      </c>
      <c r="C30" s="49"/>
      <c r="D30" s="35"/>
      <c r="E30" s="47" t="s">
        <v>58</v>
      </c>
      <c r="F30" s="49"/>
    </row>
    <row r="31" spans="2:6" ht="15.75" x14ac:dyDescent="0.2">
      <c r="B31" s="47" t="s">
        <v>21</v>
      </c>
      <c r="C31" s="49"/>
      <c r="D31" s="35"/>
      <c r="E31" s="277" t="s">
        <v>60</v>
      </c>
      <c r="F31" s="278"/>
    </row>
    <row r="32" spans="2:6" x14ac:dyDescent="0.2">
      <c r="B32" s="47" t="s">
        <v>23</v>
      </c>
      <c r="C32" s="49"/>
      <c r="D32" s="35"/>
      <c r="E32" s="47" t="s">
        <v>61</v>
      </c>
      <c r="F32" s="49"/>
    </row>
    <row r="33" spans="2:6" x14ac:dyDescent="0.2">
      <c r="B33" s="47" t="s">
        <v>42</v>
      </c>
      <c r="C33" s="49"/>
      <c r="D33" s="35"/>
      <c r="E33" s="47" t="s">
        <v>63</v>
      </c>
      <c r="F33" s="49"/>
    </row>
    <row r="34" spans="2:6" x14ac:dyDescent="0.2">
      <c r="B34" s="47" t="s">
        <v>64</v>
      </c>
      <c r="C34" s="49"/>
      <c r="D34" s="1"/>
      <c r="E34" s="47" t="s">
        <v>65</v>
      </c>
      <c r="F34" s="49"/>
    </row>
    <row r="35" spans="2:6" ht="15.75" x14ac:dyDescent="0.2">
      <c r="B35" s="277" t="s">
        <v>66</v>
      </c>
      <c r="C35" s="278"/>
      <c r="D35" s="1"/>
      <c r="E35" s="47" t="s">
        <v>67</v>
      </c>
      <c r="F35" s="49"/>
    </row>
    <row r="36" spans="2:6" ht="25.5" x14ac:dyDescent="0.2">
      <c r="B36" s="47" t="s">
        <v>68</v>
      </c>
      <c r="C36" s="49"/>
      <c r="D36" s="1"/>
      <c r="E36" s="47" t="s">
        <v>69</v>
      </c>
      <c r="F36" s="49"/>
    </row>
    <row r="37" spans="2:6" ht="25.5" x14ac:dyDescent="0.2">
      <c r="B37" s="47" t="s">
        <v>70</v>
      </c>
      <c r="C37" s="49"/>
      <c r="D37" s="1"/>
    </row>
    <row r="38" spans="2:6" x14ac:dyDescent="0.2">
      <c r="D38" s="1"/>
    </row>
    <row r="39" spans="2:6" x14ac:dyDescent="0.2">
      <c r="B39"/>
      <c r="C39"/>
      <c r="E39"/>
    </row>
    <row r="40" spans="2:6" x14ac:dyDescent="0.2">
      <c r="B40" t="s">
        <v>11</v>
      </c>
      <c r="C40"/>
      <c r="E40"/>
    </row>
    <row r="41" spans="2:6" x14ac:dyDescent="0.2">
      <c r="B41" t="str">
        <f>Value_Application_Version</f>
        <v>Version 3.1</v>
      </c>
      <c r="C41"/>
      <c r="E41"/>
    </row>
    <row r="42" spans="2:6" x14ac:dyDescent="0.2">
      <c r="B42"/>
      <c r="C42"/>
      <c r="E42"/>
    </row>
    <row r="47" spans="2:6" x14ac:dyDescent="0.2">
      <c r="D47" s="1"/>
    </row>
    <row r="48" spans="2:6" x14ac:dyDescent="0.2">
      <c r="D48" s="1"/>
    </row>
    <row r="49" spans="4:6" x14ac:dyDescent="0.2">
      <c r="D49" s="1"/>
    </row>
    <row r="50" spans="4:6" x14ac:dyDescent="0.2">
      <c r="D50" s="1"/>
    </row>
    <row r="51" spans="4:6" x14ac:dyDescent="0.2">
      <c r="D51" s="1"/>
    </row>
    <row r="54" spans="4:6" x14ac:dyDescent="0.2">
      <c r="E54" s="48"/>
      <c r="F54" s="33"/>
    </row>
  </sheetData>
  <sheetProtection algorithmName="SHA-512" hashValue="dYbIOmkPbukvSJf2WjTojWQq0A0Mqn83xyvPNkDkbKQRObVyOfF1S9FzLCJnlhYbW2wBNyMJwxUP8ItwaJYenA==" saltValue="1/TF3h2ro6Fuk5+kLAvOSg==" spinCount="100000" sheet="1" objects="1" scenarios="1"/>
  <mergeCells count="10">
    <mergeCell ref="B1:E1"/>
    <mergeCell ref="B35:C35"/>
    <mergeCell ref="E31:F31"/>
    <mergeCell ref="B3:C3"/>
    <mergeCell ref="B15:C15"/>
    <mergeCell ref="B25:C25"/>
    <mergeCell ref="E13:F13"/>
    <mergeCell ref="E3:F3"/>
    <mergeCell ref="E4:E7"/>
    <mergeCell ref="F4:F7"/>
  </mergeCells>
  <dataValidations count="12">
    <dataValidation type="list" allowBlank="1" showInputMessage="1" showErrorMessage="1" sqref="F28" xr:uid="{00000000-0002-0000-0000-000002000000}">
      <formula1>List_Bldg_Types</formula1>
    </dataValidation>
    <dataValidation type="list" allowBlank="1" showInputMessage="1" showErrorMessage="1" sqref="F10" xr:uid="{00000000-0002-0000-0000-000003000000}">
      <formula1>List_Program_Names</formula1>
    </dataValidation>
    <dataValidation type="list" allowBlank="1" showInputMessage="1" showErrorMessage="1" sqref="F11" xr:uid="{00000000-0002-0000-0000-000004000000}">
      <formula1>List_Project_Stage</formula1>
    </dataValidation>
    <dataValidation type="list" allowBlank="1" showInputMessage="1" showErrorMessage="1" sqref="C12" xr:uid="{0EBF6B33-1A25-49CE-80DE-696F82CF9E69}">
      <formula1>List_Biz_Class</formula1>
    </dataValidation>
    <dataValidation type="list" allowBlank="1" showInputMessage="1" showErrorMessage="1" sqref="C13" xr:uid="{0F89A28A-20F8-4D05-8E72-DB2A6565CB96}">
      <formula1>List_Y_N_U</formula1>
    </dataValidation>
    <dataValidation type="list" allowBlank="1" showInputMessage="1" showErrorMessage="1" sqref="C14" xr:uid="{120E868B-F5BC-44EE-B13D-327ECB6A0725}">
      <formula1>List_DBE_Option</formula1>
    </dataValidation>
    <dataValidation type="list" allowBlank="1" showInputMessage="1" showErrorMessage="1" sqref="C37" xr:uid="{CFD7840C-5FA5-4E75-9F4D-52B558FFD9A7}">
      <formula1>List_Source</formula1>
    </dataValidation>
    <dataValidation type="list" allowBlank="1" showInputMessage="1" showErrorMessage="1" sqref="C36 F32" xr:uid="{DC170A83-A959-4CA6-83A5-494973C08389}">
      <formula1>List_Contacts</formula1>
    </dataValidation>
    <dataValidation type="list" allowBlank="1" showInputMessage="1" showErrorMessage="1" sqref="F30" xr:uid="{4AF9D84C-08C0-47DC-940B-4578E57C7E71}">
      <formula1>List_Water_Heating</formula1>
    </dataValidation>
    <dataValidation type="list" allowBlank="1" showInputMessage="1" showErrorMessage="1" sqref="F29" xr:uid="{720DAE66-CD56-4ABB-8753-00BA9609686C}">
      <formula1>List_HVAC</formula1>
    </dataValidation>
    <dataValidation type="list" allowBlank="1" showInputMessage="1" showErrorMessage="1" sqref="F12" xr:uid="{86B206BE-1E08-4349-A3E6-E8C1334ABFB2}">
      <formula1>List_Install_Type</formula1>
    </dataValidation>
    <dataValidation type="list" allowBlank="1" showInputMessage="1" showErrorMessage="1" sqref="F36" xr:uid="{F81F37EC-9197-4D5A-BA82-93D78777D712}">
      <formula1>List_Tax_Entity</formula1>
    </dataValidation>
  </dataValidations>
  <pageMargins left="0.7" right="0.7" top="0.75" bottom="0.75" header="0.3" footer="0.3"/>
  <pageSetup scale="74"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C35E6E4-0A48-4ED8-A21A-5E971D523AA7}">
          <x14:formula1>
            <xm:f>References!$AG$4:$AG$5</xm:f>
          </x14:formula1>
          <xm:sqref>F26</xm:sqref>
        </x14:dataValidation>
        <x14:dataValidation type="list" allowBlank="1" showInputMessage="1" showErrorMessage="1" xr:uid="{8DBB6B1A-EC45-4445-AADC-6C9B4FC7FE62}">
          <x14:formula1>
            <xm:f>References!$AC$4:$AC$5</xm:f>
          </x14:formula1>
          <xm:sqref>F23 C24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481A1-AFAB-444F-B81D-A25FC6F3E02F}">
  <sheetPr>
    <tabColor theme="6"/>
  </sheetPr>
  <dimension ref="B1:E22"/>
  <sheetViews>
    <sheetView showGridLines="0" showRowColHeaders="0" workbookViewId="0">
      <selection activeCell="B18" sqref="B18"/>
    </sheetView>
  </sheetViews>
  <sheetFormatPr defaultRowHeight="12.75" x14ac:dyDescent="0.2"/>
  <cols>
    <col min="1" max="1" width="1.85546875" customWidth="1"/>
    <col min="2" max="2" width="52.42578125" customWidth="1"/>
    <col min="3" max="3" width="6.140625" customWidth="1"/>
    <col min="4" max="4" width="20.42578125" customWidth="1"/>
    <col min="5" max="5" width="29.42578125" customWidth="1"/>
  </cols>
  <sheetData>
    <row r="1" spans="2:5" ht="21" customHeight="1" x14ac:dyDescent="0.2">
      <c r="B1" s="253" t="s">
        <v>164</v>
      </c>
      <c r="C1" s="253"/>
      <c r="D1" s="253"/>
      <c r="E1" s="253"/>
    </row>
    <row r="2" spans="2:5" ht="12.75" customHeight="1" x14ac:dyDescent="0.2"/>
    <row r="3" spans="2:5" ht="12.75" customHeight="1" x14ac:dyDescent="0.2"/>
    <row r="4" spans="2:5" ht="12.75" customHeight="1" x14ac:dyDescent="0.2"/>
    <row r="5" spans="2:5" ht="12.75" customHeight="1" x14ac:dyDescent="0.2"/>
    <row r="7" spans="2:5" x14ac:dyDescent="0.2">
      <c r="B7" s="76" t="s">
        <v>165</v>
      </c>
    </row>
    <row r="9" spans="2:5" x14ac:dyDescent="0.2">
      <c r="B9" s="263" t="s">
        <v>166</v>
      </c>
      <c r="C9" s="263"/>
      <c r="D9" s="263"/>
      <c r="E9" s="263"/>
    </row>
    <row r="10" spans="2:5" x14ac:dyDescent="0.2">
      <c r="B10" s="263"/>
      <c r="C10" s="263"/>
      <c r="D10" s="263"/>
      <c r="E10" s="263"/>
    </row>
    <row r="11" spans="2:5" x14ac:dyDescent="0.2">
      <c r="B11" s="263"/>
      <c r="C11" s="263"/>
      <c r="D11" s="263"/>
      <c r="E11" s="263"/>
    </row>
    <row r="12" spans="2:5" ht="26.25" customHeight="1" x14ac:dyDescent="0.2">
      <c r="B12" s="263"/>
      <c r="C12" s="263"/>
      <c r="D12" s="263"/>
      <c r="E12" s="263"/>
    </row>
    <row r="13" spans="2:5" x14ac:dyDescent="0.2">
      <c r="B13" s="91"/>
      <c r="C13" s="91"/>
      <c r="D13" s="91"/>
      <c r="E13" s="91"/>
    </row>
    <row r="14" spans="2:5" x14ac:dyDescent="0.2">
      <c r="B14" s="95" t="s">
        <v>167</v>
      </c>
      <c r="C14" s="91"/>
      <c r="D14" s="91"/>
      <c r="E14" s="91"/>
    </row>
    <row r="15" spans="2:5" x14ac:dyDescent="0.2">
      <c r="B15" s="91"/>
      <c r="C15" s="91"/>
      <c r="D15" s="91"/>
      <c r="E15" s="91"/>
    </row>
    <row r="16" spans="2:5" x14ac:dyDescent="0.2">
      <c r="B16" s="91"/>
      <c r="C16" s="91"/>
      <c r="D16" s="91"/>
      <c r="E16" s="91"/>
    </row>
    <row r="17" spans="2:4" x14ac:dyDescent="0.2">
      <c r="B17" s="76" t="s">
        <v>168</v>
      </c>
      <c r="D17" s="76" t="s">
        <v>169</v>
      </c>
    </row>
    <row r="18" spans="2:4" x14ac:dyDescent="0.2">
      <c r="B18" s="94"/>
      <c r="D18" s="50"/>
    </row>
    <row r="19" spans="2:4" ht="12.75" customHeight="1" x14ac:dyDescent="0.2"/>
    <row r="21" spans="2:4" x14ac:dyDescent="0.2">
      <c r="B21" t="s">
        <v>11</v>
      </c>
    </row>
    <row r="22" spans="2:4" x14ac:dyDescent="0.2">
      <c r="B22" t="str">
        <f>Value_Application_Version</f>
        <v>Version 3.1</v>
      </c>
    </row>
  </sheetData>
  <sheetProtection algorithmName="SHA-512" hashValue="OBuWZ5jbof0p316NBW+K+hln0oHhCV8e/DAxK3oO1r9UxfxOSew6UkhXi0w//xEvrj0ILwznENcvk5pVGOK43w==" saltValue="zdHwAFC/HnAZpljhKcBZXQ==" spinCount="100000" sheet="1" objects="1" scenarios="1"/>
  <mergeCells count="2">
    <mergeCell ref="B1:E1"/>
    <mergeCell ref="B9:E12"/>
  </mergeCells>
  <hyperlinks>
    <hyperlink ref="B14" r:id="rId1" xr:uid="{31F080B0-8E2C-43C0-A77C-93D14170E888}"/>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tabColor theme="3"/>
  </sheetPr>
  <dimension ref="A1:AV204"/>
  <sheetViews>
    <sheetView showGridLines="0" showRowColHeaders="0" topLeftCell="A2" workbookViewId="0">
      <selection activeCell="D5" sqref="D5"/>
    </sheetView>
  </sheetViews>
  <sheetFormatPr defaultColWidth="9.140625" defaultRowHeight="12.75" customHeight="1" x14ac:dyDescent="0.2"/>
  <cols>
    <col min="1" max="1" width="2.140625" customWidth="1"/>
    <col min="2" max="2" width="5.28515625" customWidth="1"/>
    <col min="3" max="3" width="8.140625" customWidth="1"/>
    <col min="4" max="4" width="17.140625" customWidth="1"/>
    <col min="5" max="5" width="29.85546875" customWidth="1"/>
    <col min="6" max="6" width="19.7109375" style="70" customWidth="1"/>
    <col min="7" max="10" width="11.85546875" customWidth="1"/>
    <col min="11" max="11" width="12.42578125" customWidth="1"/>
    <col min="12" max="12" width="9.85546875" customWidth="1"/>
    <col min="13" max="13" width="10" customWidth="1"/>
    <col min="14" max="14" width="11" customWidth="1"/>
    <col min="15" max="15" width="12" customWidth="1"/>
    <col min="16" max="16" width="11.85546875" customWidth="1"/>
    <col min="17" max="17" width="10.28515625" customWidth="1"/>
    <col min="18" max="18" width="12.28515625" customWidth="1"/>
    <col min="19" max="19" width="13.42578125" customWidth="1"/>
    <col min="20" max="20" width="9.5703125" customWidth="1"/>
  </cols>
  <sheetData>
    <row r="1" spans="1:48" ht="37.5" customHeight="1" x14ac:dyDescent="0.2">
      <c r="B1" s="253" t="s">
        <v>72</v>
      </c>
      <c r="C1" s="253"/>
      <c r="D1" s="253"/>
      <c r="E1" s="253"/>
      <c r="F1" s="253"/>
      <c r="G1" s="253"/>
      <c r="H1" s="253"/>
      <c r="I1" s="253"/>
      <c r="J1" s="253"/>
      <c r="K1" s="253"/>
      <c r="L1" s="253"/>
      <c r="M1" s="253"/>
      <c r="N1" s="253"/>
      <c r="O1" s="253"/>
      <c r="P1" s="253"/>
      <c r="Q1" s="253"/>
      <c r="R1" s="151"/>
      <c r="S1" s="151"/>
      <c r="T1" s="151"/>
    </row>
    <row r="2" spans="1:48" x14ac:dyDescent="0.2">
      <c r="F2"/>
      <c r="N2" s="4"/>
    </row>
    <row r="3" spans="1:48" x14ac:dyDescent="0.2">
      <c r="A3" s="4"/>
      <c r="D3" s="76" t="s">
        <v>73</v>
      </c>
      <c r="E3" s="251"/>
      <c r="G3" s="281" t="s">
        <v>75</v>
      </c>
      <c r="H3" s="281"/>
      <c r="I3" s="281"/>
      <c r="J3" s="281"/>
      <c r="K3" s="281"/>
      <c r="L3" s="281"/>
      <c r="M3" s="84" t="s">
        <v>76</v>
      </c>
      <c r="N3" s="145">
        <f>SUM(N$5:N$54)</f>
        <v>0</v>
      </c>
      <c r="O3" s="83">
        <f>SUM(O$5:O$54)</f>
        <v>0</v>
      </c>
      <c r="P3" s="82">
        <f>SUM(P$5:P$54)</f>
        <v>0</v>
      </c>
      <c r="Q3" s="146">
        <f>SUM(Q$5:Q$54)</f>
        <v>0</v>
      </c>
      <c r="R3" s="146">
        <f>SUM(Table_PrescriptLights_Input[Gross Measure Cost])</f>
        <v>0</v>
      </c>
      <c r="S3" s="146">
        <f>SUM(S$5:S$54)</f>
        <v>0</v>
      </c>
      <c r="T3" s="83" t="str">
        <f>IFERROR(S3/Q3,"")</f>
        <v/>
      </c>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38.25" x14ac:dyDescent="0.2">
      <c r="A4" s="16"/>
      <c r="B4" s="62" t="s">
        <v>77</v>
      </c>
      <c r="C4" s="63" t="s">
        <v>78</v>
      </c>
      <c r="D4" s="66" t="s">
        <v>79</v>
      </c>
      <c r="E4" s="63" t="s">
        <v>80</v>
      </c>
      <c r="F4" s="64" t="s">
        <v>81</v>
      </c>
      <c r="G4" s="53" t="s">
        <v>82</v>
      </c>
      <c r="H4" s="53" t="s">
        <v>83</v>
      </c>
      <c r="I4" s="53" t="s">
        <v>84</v>
      </c>
      <c r="J4" s="53" t="s">
        <v>85</v>
      </c>
      <c r="K4" s="65" t="s">
        <v>86</v>
      </c>
      <c r="L4" s="65" t="s">
        <v>87</v>
      </c>
      <c r="M4" s="64" t="s">
        <v>88</v>
      </c>
      <c r="N4" s="64" t="s">
        <v>89</v>
      </c>
      <c r="O4" s="64" t="s">
        <v>90</v>
      </c>
      <c r="P4" s="64" t="s">
        <v>91</v>
      </c>
      <c r="Q4" s="64" t="s">
        <v>92</v>
      </c>
      <c r="R4" s="64" t="s">
        <v>93</v>
      </c>
      <c r="S4" s="64" t="s">
        <v>94</v>
      </c>
      <c r="T4" s="64" t="s">
        <v>95</v>
      </c>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row>
    <row r="5" spans="1:48" x14ac:dyDescent="0.2">
      <c r="A5" s="3"/>
      <c r="B5" s="71">
        <v>1</v>
      </c>
      <c r="C5" s="69" t="str">
        <f>IFERROR(INDEX(Table_Prescript_Meas[Measure Number], MATCH(E5, Table_Prescript_Meas[Measure Description], 0)), "")</f>
        <v/>
      </c>
      <c r="D5" s="61"/>
      <c r="E5" s="60"/>
      <c r="F5" s="69" t="str">
        <f>IFERROR(INDEX(Table_Prescript_Meas[Units], MATCH(Table_PrescriptLights_Input[[#This Row],[Measure Number]], Table_Prescript_Meas[Measure Number], 0)), "")</f>
        <v/>
      </c>
      <c r="G5" s="72"/>
      <c r="H5" s="51"/>
      <c r="I5" s="51"/>
      <c r="J5" s="51"/>
      <c r="K5" s="73"/>
      <c r="L5" s="73"/>
      <c r="M5"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5" s="74" t="str">
        <f>IFERROR(Table_PrescriptLights_Input[[#This Row],[Per-Unit Incentive]]*Table_PrescriptLights_Input[[#This Row],[Number of Units]],"")</f>
        <v/>
      </c>
      <c r="O5" s="75" t="str">
        <f>IF(OR(Table_PrescriptLights_Input[[#This Row],[HVAC Measure]]=References!$G$4,Table_PrescriptLights_Input[[#This Row],[HVAC Measure]]=References!$G$5),'HVAC Calcs'!$H3,IFERROR(Table_PrescriptLights_Input[[#This Row],[Number of Units]]*INDEX(Table_Prescript_Meas[Deemed kWh Savings], MATCH(Table_PrescriptLights_Input[[#This Row],[Measure Number]], Table_Prescript_Meas[Measure Number], 0)),"" ))</f>
        <v/>
      </c>
      <c r="P5" s="81" t="str">
        <f>IF(OR(Table_PrescriptLights_Input[[#This Row],[HVAC Measure]]=References!$G$4,Table_PrescriptLights_Input[[#This Row],[HVAC Measure]]=References!$G$5),'HVAC Calcs'!$I3,IFERROR(Table_PrescriptLights_Input[[#This Row],[Number of Units]]*INDEX(Table_Prescript_Meas[Deemed kW Savings], MATCH(Table_PrescriptLights_Input[[#This Row],[Measure Number]], Table_Prescript_Meas[Measure Number], 0)),"" ))</f>
        <v/>
      </c>
      <c r="Q5" s="74" t="str">
        <f>IFERROR(Table_PrescriptLights_Input[[#This Row],[Energy Savings (kWh)]]*Input_AvgkWhRate, "")</f>
        <v/>
      </c>
      <c r="R5" s="74" t="str">
        <f>IF(Table_PrescriptLights_Input[[#This Row],[HVAC Measure]]="", "",Table_PrescriptLights_Input[[#This Row],[Total Equipment Cost]]+Table_PrescriptLights_Input[[#This Row],[Total Labor Cost]])</f>
        <v/>
      </c>
      <c r="S5" s="74" t="str">
        <f>IFERROR(Table_PrescriptLights_Input[[#This Row],[Gross Measure Cost]]-Table_PrescriptLights_Input[[#This Row],[Estimated Incentive]], "")</f>
        <v/>
      </c>
      <c r="T5" s="75" t="str">
        <f t="shared" ref="T5:T54" si="0">IFERROR($S5/$Q5,"")</f>
        <v/>
      </c>
      <c r="U5" s="3"/>
      <c r="V5" s="3"/>
      <c r="W5" s="3"/>
      <c r="X5" s="3"/>
      <c r="Y5" s="3"/>
      <c r="Z5" s="3"/>
      <c r="AA5" s="3"/>
      <c r="AB5" s="3"/>
      <c r="AC5" s="3"/>
      <c r="AD5" s="3"/>
      <c r="AE5" s="3"/>
      <c r="AF5" s="3"/>
      <c r="AG5" s="3"/>
      <c r="AH5" s="3"/>
      <c r="AI5" s="3"/>
      <c r="AJ5" s="3"/>
      <c r="AK5" s="3"/>
      <c r="AL5" s="3"/>
      <c r="AM5" s="3"/>
      <c r="AN5" s="3"/>
      <c r="AO5" s="3"/>
      <c r="AP5" s="3"/>
      <c r="AQ5" s="3"/>
      <c r="AR5" s="3"/>
      <c r="AS5" s="3"/>
      <c r="AT5" s="3"/>
      <c r="AU5" s="3"/>
      <c r="AV5" s="3"/>
    </row>
    <row r="6" spans="1:48" x14ac:dyDescent="0.2">
      <c r="A6" s="3"/>
      <c r="B6" s="71">
        <v>2</v>
      </c>
      <c r="C6" s="69" t="str">
        <f>IFERROR(INDEX(Table_Prescript_Meas[Measure Number], MATCH(E6, Table_Prescript_Meas[Measure Description], 0)), "")</f>
        <v/>
      </c>
      <c r="D6" s="61"/>
      <c r="E6" s="60"/>
      <c r="F6" s="69" t="str">
        <f>IFERROR(INDEX(Table_Prescript_Meas[Units], MATCH(Table_PrescriptLights_Input[[#This Row],[Measure Number]], Table_Prescript_Meas[Measure Number], 0)), "")</f>
        <v/>
      </c>
      <c r="G6" s="72"/>
      <c r="H6" s="51"/>
      <c r="I6" s="51"/>
      <c r="J6" s="51"/>
      <c r="K6" s="73"/>
      <c r="L6" s="73"/>
      <c r="M6"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6" s="74" t="str">
        <f>IFERROR(Table_PrescriptLights_Input[[#This Row],[Per-Unit Incentive]]*Table_PrescriptLights_Input[[#This Row],[Number of Units]],"")</f>
        <v/>
      </c>
      <c r="O6" s="75" t="str">
        <f>IF(OR(Table_PrescriptLights_Input[[#This Row],[HVAC Measure]]=References!$G$4,Table_PrescriptLights_Input[[#This Row],[HVAC Measure]]=References!$G$5),'HVAC Calcs'!$H4,IFERROR(Table_PrescriptLights_Input[[#This Row],[Number of Units]]*INDEX(Table_Prescript_Meas[Deemed kWh Savings], MATCH(Table_PrescriptLights_Input[[#This Row],[Measure Number]], Table_Prescript_Meas[Measure Number], 0)),"" ))</f>
        <v/>
      </c>
      <c r="P6" s="81" t="str">
        <f>IF(OR(Table_PrescriptLights_Input[[#This Row],[HVAC Measure]]=References!$G$4,Table_PrescriptLights_Input[[#This Row],[HVAC Measure]]=References!$G$5),'HVAC Calcs'!$I4,IFERROR(Table_PrescriptLights_Input[[#This Row],[Number of Units]]*INDEX(Table_Prescript_Meas[Deemed kW Savings], MATCH(Table_PrescriptLights_Input[[#This Row],[Measure Number]], Table_Prescript_Meas[Measure Number], 0)),"" ))</f>
        <v/>
      </c>
      <c r="Q6" s="74" t="str">
        <f>IFERROR(Table_PrescriptLights_Input[[#This Row],[Energy Savings (kWh)]]*Input_AvgkWhRate, "")</f>
        <v/>
      </c>
      <c r="R6" s="74" t="str">
        <f>IF(Table_PrescriptLights_Input[[#This Row],[HVAC Measure]]="", "",Table_PrescriptLights_Input[[#This Row],[Total Equipment Cost]]+Table_PrescriptLights_Input[[#This Row],[Total Labor Cost]])</f>
        <v/>
      </c>
      <c r="S6" s="74" t="str">
        <f>IFERROR(Table_PrescriptLights_Input[[#This Row],[Gross Measure Cost]]-Table_PrescriptLights_Input[[#This Row],[Estimated Incentive]], "")</f>
        <v/>
      </c>
      <c r="T6" s="75" t="str">
        <f t="shared" si="0"/>
        <v/>
      </c>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x14ac:dyDescent="0.2">
      <c r="A7" s="3"/>
      <c r="B7" s="71">
        <v>3</v>
      </c>
      <c r="C7" s="69" t="str">
        <f>IFERROR(INDEX(Table_Prescript_Meas[Measure Number], MATCH(E7, Table_Prescript_Meas[Measure Description], 0)), "")</f>
        <v/>
      </c>
      <c r="D7" s="61"/>
      <c r="E7" s="60"/>
      <c r="F7" s="69" t="str">
        <f>IFERROR(INDEX(Table_Prescript_Meas[Units], MATCH(Table_PrescriptLights_Input[[#This Row],[Measure Number]], Table_Prescript_Meas[Measure Number], 0)), "")</f>
        <v/>
      </c>
      <c r="G7" s="72"/>
      <c r="H7" s="51"/>
      <c r="I7" s="51"/>
      <c r="J7" s="51"/>
      <c r="K7" s="73"/>
      <c r="L7" s="73"/>
      <c r="M7"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7" s="74" t="str">
        <f>IFERROR(Table_PrescriptLights_Input[[#This Row],[Per-Unit Incentive]]*Table_PrescriptLights_Input[[#This Row],[Number of Units]],"")</f>
        <v/>
      </c>
      <c r="O7" s="75" t="str">
        <f>IF(OR(Table_PrescriptLights_Input[[#This Row],[HVAC Measure]]=References!$G$4,Table_PrescriptLights_Input[[#This Row],[HVAC Measure]]=References!$G$5),'HVAC Calcs'!$H5,IFERROR(Table_PrescriptLights_Input[[#This Row],[Number of Units]]*INDEX(Table_Prescript_Meas[Deemed kWh Savings], MATCH(Table_PrescriptLights_Input[[#This Row],[Measure Number]], Table_Prescript_Meas[Measure Number], 0)),"" ))</f>
        <v/>
      </c>
      <c r="P7" s="81" t="str">
        <f>IF(OR(Table_PrescriptLights_Input[[#This Row],[HVAC Measure]]=References!$G$4,Table_PrescriptLights_Input[[#This Row],[HVAC Measure]]=References!$G$5),'HVAC Calcs'!$I5,IFERROR(Table_PrescriptLights_Input[[#This Row],[Number of Units]]*INDEX(Table_Prescript_Meas[Deemed kW Savings], MATCH(Table_PrescriptLights_Input[[#This Row],[Measure Number]], Table_Prescript_Meas[Measure Number], 0)),"" ))</f>
        <v/>
      </c>
      <c r="Q7" s="74" t="str">
        <f>IFERROR(Table_PrescriptLights_Input[[#This Row],[Energy Savings (kWh)]]*Input_AvgkWhRate, "")</f>
        <v/>
      </c>
      <c r="R7" s="74" t="str">
        <f>IF(Table_PrescriptLights_Input[[#This Row],[HVAC Measure]]="", "",Table_PrescriptLights_Input[[#This Row],[Total Equipment Cost]]+Table_PrescriptLights_Input[[#This Row],[Total Labor Cost]])</f>
        <v/>
      </c>
      <c r="S7" s="74" t="str">
        <f>IFERROR(Table_PrescriptLights_Input[[#This Row],[Gross Measure Cost]]-Table_PrescriptLights_Input[[#This Row],[Estimated Incentive]], "")</f>
        <v/>
      </c>
      <c r="T7" s="75" t="str">
        <f t="shared" si="0"/>
        <v/>
      </c>
      <c r="U7" s="3"/>
      <c r="V7" s="3"/>
      <c r="W7" s="3"/>
      <c r="X7" s="3"/>
      <c r="Y7" s="3"/>
      <c r="Z7" s="3"/>
      <c r="AA7" s="3"/>
      <c r="AB7" s="3"/>
      <c r="AC7" s="3"/>
      <c r="AD7" s="3"/>
      <c r="AE7" s="3"/>
      <c r="AF7" s="3"/>
      <c r="AG7" s="3"/>
      <c r="AH7" s="3"/>
      <c r="AI7" s="3"/>
      <c r="AJ7" s="3"/>
      <c r="AK7" s="3"/>
      <c r="AL7" s="3"/>
      <c r="AM7" s="3"/>
      <c r="AN7" s="3"/>
      <c r="AO7" s="3"/>
      <c r="AP7" s="3"/>
      <c r="AQ7" s="3"/>
      <c r="AR7" s="3"/>
      <c r="AS7" s="3"/>
      <c r="AT7" s="3"/>
      <c r="AU7" s="3"/>
      <c r="AV7" s="3"/>
    </row>
    <row r="8" spans="1:48" x14ac:dyDescent="0.2">
      <c r="A8" s="3"/>
      <c r="B8" s="71">
        <v>4</v>
      </c>
      <c r="C8" s="69" t="str">
        <f>IFERROR(INDEX(Table_Prescript_Meas[Measure Number], MATCH(E8, Table_Prescript_Meas[Measure Description], 0)), "")</f>
        <v/>
      </c>
      <c r="D8" s="61"/>
      <c r="E8" s="60"/>
      <c r="F8" s="69" t="str">
        <f>IFERROR(INDEX(Table_Prescript_Meas[Units], MATCH(Table_PrescriptLights_Input[[#This Row],[Measure Number]], Table_Prescript_Meas[Measure Number], 0)), "")</f>
        <v/>
      </c>
      <c r="G8" s="72"/>
      <c r="H8" s="51"/>
      <c r="I8" s="51"/>
      <c r="J8" s="51"/>
      <c r="K8" s="73"/>
      <c r="L8" s="73"/>
      <c r="M8"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8" s="74" t="str">
        <f>IFERROR(Table_PrescriptLights_Input[[#This Row],[Per-Unit Incentive]]*Table_PrescriptLights_Input[[#This Row],[Number of Units]],"")</f>
        <v/>
      </c>
      <c r="O8" s="75" t="str">
        <f>IF(OR(Table_PrescriptLights_Input[[#This Row],[HVAC Measure]]=References!$G$4,Table_PrescriptLights_Input[[#This Row],[HVAC Measure]]=References!$G$5),'HVAC Calcs'!$H6,IFERROR(Table_PrescriptLights_Input[[#This Row],[Number of Units]]*INDEX(Table_Prescript_Meas[Deemed kWh Savings], MATCH(Table_PrescriptLights_Input[[#This Row],[Measure Number]], Table_Prescript_Meas[Measure Number], 0)),"" ))</f>
        <v/>
      </c>
      <c r="P8" s="81" t="str">
        <f>IF(OR(Table_PrescriptLights_Input[[#This Row],[HVAC Measure]]=References!$G$4,Table_PrescriptLights_Input[[#This Row],[HVAC Measure]]=References!$G$5),'HVAC Calcs'!$I6,IFERROR(Table_PrescriptLights_Input[[#This Row],[Number of Units]]*INDEX(Table_Prescript_Meas[Deemed kW Savings], MATCH(Table_PrescriptLights_Input[[#This Row],[Measure Number]], Table_Prescript_Meas[Measure Number], 0)),"" ))</f>
        <v/>
      </c>
      <c r="Q8" s="74" t="str">
        <f>IFERROR(Table_PrescriptLights_Input[[#This Row],[Energy Savings (kWh)]]*Input_AvgkWhRate, "")</f>
        <v/>
      </c>
      <c r="R8" s="74" t="str">
        <f>IF(Table_PrescriptLights_Input[[#This Row],[HVAC Measure]]="", "",Table_PrescriptLights_Input[[#This Row],[Total Equipment Cost]]+Table_PrescriptLights_Input[[#This Row],[Total Labor Cost]])</f>
        <v/>
      </c>
      <c r="S8" s="74" t="str">
        <f>IFERROR(Table_PrescriptLights_Input[[#This Row],[Gross Measure Cost]]-Table_PrescriptLights_Input[[#This Row],[Estimated Incentive]], "")</f>
        <v/>
      </c>
      <c r="T8" s="75" t="str">
        <f t="shared" si="0"/>
        <v/>
      </c>
      <c r="U8" s="3"/>
      <c r="V8" s="3"/>
      <c r="W8" s="3"/>
      <c r="X8" s="3"/>
      <c r="Y8" s="3"/>
      <c r="Z8" s="3"/>
      <c r="AA8" s="3"/>
      <c r="AB8" s="3"/>
      <c r="AC8" s="3"/>
      <c r="AD8" s="3"/>
      <c r="AE8" s="3"/>
      <c r="AF8" s="3"/>
      <c r="AG8" s="3"/>
      <c r="AH8" s="3"/>
      <c r="AI8" s="3"/>
      <c r="AJ8" s="3"/>
      <c r="AK8" s="3"/>
      <c r="AL8" s="3"/>
      <c r="AM8" s="3"/>
      <c r="AN8" s="3"/>
      <c r="AO8" s="3"/>
      <c r="AP8" s="3"/>
      <c r="AQ8" s="3"/>
      <c r="AR8" s="3"/>
      <c r="AS8" s="3"/>
      <c r="AT8" s="3"/>
      <c r="AU8" s="3"/>
      <c r="AV8" s="3"/>
    </row>
    <row r="9" spans="1:48" x14ac:dyDescent="0.2">
      <c r="A9" s="3"/>
      <c r="B9" s="71">
        <v>5</v>
      </c>
      <c r="C9" s="69" t="str">
        <f>IFERROR(INDEX(Table_Prescript_Meas[Measure Number], MATCH(E9, Table_Prescript_Meas[Measure Description], 0)), "")</f>
        <v/>
      </c>
      <c r="D9" s="61"/>
      <c r="E9" s="60"/>
      <c r="F9" s="69" t="str">
        <f>IFERROR(INDEX(Table_Prescript_Meas[Units], MATCH(Table_PrescriptLights_Input[[#This Row],[Measure Number]], Table_Prescript_Meas[Measure Number], 0)), "")</f>
        <v/>
      </c>
      <c r="G9" s="72"/>
      <c r="H9" s="51"/>
      <c r="I9" s="51"/>
      <c r="J9" s="51"/>
      <c r="K9" s="73"/>
      <c r="L9" s="73"/>
      <c r="M9"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9" s="74" t="str">
        <f>IFERROR(Table_PrescriptLights_Input[[#This Row],[Per-Unit Incentive]]*Table_PrescriptLights_Input[[#This Row],[Number of Units]],"")</f>
        <v/>
      </c>
      <c r="O9" s="75" t="str">
        <f>IF(OR(Table_PrescriptLights_Input[[#This Row],[HVAC Measure]]=References!$G$4,Table_PrescriptLights_Input[[#This Row],[HVAC Measure]]=References!$G$5),'HVAC Calcs'!$H7,IFERROR(Table_PrescriptLights_Input[[#This Row],[Number of Units]]*INDEX(Table_Prescript_Meas[Deemed kWh Savings], MATCH(Table_PrescriptLights_Input[[#This Row],[Measure Number]], Table_Prescript_Meas[Measure Number], 0)),"" ))</f>
        <v/>
      </c>
      <c r="P9" s="81" t="str">
        <f>IF(OR(Table_PrescriptLights_Input[[#This Row],[HVAC Measure]]=References!$G$4,Table_PrescriptLights_Input[[#This Row],[HVAC Measure]]=References!$G$5),'HVAC Calcs'!$I7,IFERROR(Table_PrescriptLights_Input[[#This Row],[Number of Units]]*INDEX(Table_Prescript_Meas[Deemed kW Savings], MATCH(Table_PrescriptLights_Input[[#This Row],[Measure Number]], Table_Prescript_Meas[Measure Number], 0)),"" ))</f>
        <v/>
      </c>
      <c r="Q9" s="74" t="str">
        <f>IFERROR(Table_PrescriptLights_Input[[#This Row],[Energy Savings (kWh)]]*Input_AvgkWhRate, "")</f>
        <v/>
      </c>
      <c r="R9" s="74" t="str">
        <f>IF(Table_PrescriptLights_Input[[#This Row],[HVAC Measure]]="", "",Table_PrescriptLights_Input[[#This Row],[Total Equipment Cost]]+Table_PrescriptLights_Input[[#This Row],[Total Labor Cost]])</f>
        <v/>
      </c>
      <c r="S9" s="74" t="str">
        <f>IFERROR(Table_PrescriptLights_Input[[#This Row],[Gross Measure Cost]]-Table_PrescriptLights_Input[[#This Row],[Estimated Incentive]], "")</f>
        <v/>
      </c>
      <c r="T9" s="75" t="str">
        <f t="shared" si="0"/>
        <v/>
      </c>
      <c r="U9" s="3"/>
      <c r="V9" s="3"/>
      <c r="W9" s="3"/>
      <c r="X9" s="3"/>
      <c r="Y9" s="3"/>
      <c r="Z9" s="3"/>
      <c r="AA9" s="3"/>
      <c r="AB9" s="3"/>
      <c r="AC9" s="3"/>
      <c r="AD9" s="3"/>
      <c r="AE9" s="3"/>
      <c r="AF9" s="3"/>
      <c r="AG9" s="3"/>
      <c r="AH9" s="3"/>
      <c r="AI9" s="3"/>
      <c r="AJ9" s="3"/>
      <c r="AK9" s="3"/>
      <c r="AL9" s="3"/>
      <c r="AM9" s="3"/>
      <c r="AN9" s="3"/>
      <c r="AO9" s="3"/>
      <c r="AP9" s="3"/>
      <c r="AQ9" s="3"/>
      <c r="AR9" s="3"/>
      <c r="AS9" s="3"/>
      <c r="AT9" s="3"/>
      <c r="AU9" s="3"/>
      <c r="AV9" s="3"/>
    </row>
    <row r="10" spans="1:48" x14ac:dyDescent="0.2">
      <c r="A10" s="3"/>
      <c r="B10" s="71">
        <v>6</v>
      </c>
      <c r="C10" s="69" t="str">
        <f>IFERROR(INDEX(Table_Prescript_Meas[Measure Number], MATCH(E10, Table_Prescript_Meas[Measure Description], 0)), "")</f>
        <v/>
      </c>
      <c r="D10" s="61"/>
      <c r="E10" s="60"/>
      <c r="F10" s="69" t="str">
        <f>IFERROR(INDEX(Table_Prescript_Meas[Units], MATCH(Table_PrescriptLights_Input[[#This Row],[Measure Number]], Table_Prescript_Meas[Measure Number], 0)), "")</f>
        <v/>
      </c>
      <c r="G10" s="72"/>
      <c r="H10" s="51"/>
      <c r="I10" s="51"/>
      <c r="J10" s="51"/>
      <c r="K10" s="73"/>
      <c r="L10" s="73"/>
      <c r="M10"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10" s="74" t="str">
        <f>IFERROR(Table_PrescriptLights_Input[[#This Row],[Per-Unit Incentive]]*Table_PrescriptLights_Input[[#This Row],[Number of Units]],"")</f>
        <v/>
      </c>
      <c r="O10" s="75" t="str">
        <f>IF(OR(Table_PrescriptLights_Input[[#This Row],[HVAC Measure]]=References!$G$4,Table_PrescriptLights_Input[[#This Row],[HVAC Measure]]=References!$G$5),'HVAC Calcs'!$H8,IFERROR(Table_PrescriptLights_Input[[#This Row],[Number of Units]]*INDEX(Table_Prescript_Meas[Deemed kWh Savings], MATCH(Table_PrescriptLights_Input[[#This Row],[Measure Number]], Table_Prescript_Meas[Measure Number], 0)),"" ))</f>
        <v/>
      </c>
      <c r="P10" s="81" t="str">
        <f>IF(OR(Table_PrescriptLights_Input[[#This Row],[HVAC Measure]]=References!$G$4,Table_PrescriptLights_Input[[#This Row],[HVAC Measure]]=References!$G$5),'HVAC Calcs'!$I8,IFERROR(Table_PrescriptLights_Input[[#This Row],[Number of Units]]*INDEX(Table_Prescript_Meas[Deemed kW Savings], MATCH(Table_PrescriptLights_Input[[#This Row],[Measure Number]], Table_Prescript_Meas[Measure Number], 0)),"" ))</f>
        <v/>
      </c>
      <c r="Q10" s="74" t="str">
        <f>IFERROR(Table_PrescriptLights_Input[[#This Row],[Energy Savings (kWh)]]*Input_AvgkWhRate, "")</f>
        <v/>
      </c>
      <c r="R10" s="74" t="str">
        <f>IF(Table_PrescriptLights_Input[[#This Row],[HVAC Measure]]="", "",Table_PrescriptLights_Input[[#This Row],[Total Equipment Cost]]+Table_PrescriptLights_Input[[#This Row],[Total Labor Cost]])</f>
        <v/>
      </c>
      <c r="S10" s="74" t="str">
        <f>IFERROR(Table_PrescriptLights_Input[[#This Row],[Gross Measure Cost]]-Table_PrescriptLights_Input[[#This Row],[Estimated Incentive]], "")</f>
        <v/>
      </c>
      <c r="T10" s="75" t="str">
        <f t="shared" si="0"/>
        <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row>
    <row r="11" spans="1:48" x14ac:dyDescent="0.2">
      <c r="A11" s="3"/>
      <c r="B11" s="71">
        <v>7</v>
      </c>
      <c r="C11" s="69" t="str">
        <f>IFERROR(INDEX(Table_Prescript_Meas[Measure Number], MATCH(E11, Table_Prescript_Meas[Measure Description], 0)), "")</f>
        <v/>
      </c>
      <c r="D11" s="61"/>
      <c r="E11" s="60"/>
      <c r="F11" s="69" t="str">
        <f>IFERROR(INDEX(Table_Prescript_Meas[Units], MATCH(Table_PrescriptLights_Input[[#This Row],[Measure Number]], Table_Prescript_Meas[Measure Number], 0)), "")</f>
        <v/>
      </c>
      <c r="G11" s="72"/>
      <c r="H11" s="51"/>
      <c r="I11" s="51"/>
      <c r="J11" s="51"/>
      <c r="K11" s="73"/>
      <c r="L11" s="73"/>
      <c r="M11"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11" s="74" t="str">
        <f>IFERROR(Table_PrescriptLights_Input[[#This Row],[Per-Unit Incentive]]*Table_PrescriptLights_Input[[#This Row],[Number of Units]],"")</f>
        <v/>
      </c>
      <c r="O11" s="75" t="str">
        <f>IF(OR(Table_PrescriptLights_Input[[#This Row],[HVAC Measure]]=References!$G$4,Table_PrescriptLights_Input[[#This Row],[HVAC Measure]]=References!$G$5),'HVAC Calcs'!$H9,IFERROR(Table_PrescriptLights_Input[[#This Row],[Number of Units]]*INDEX(Table_Prescript_Meas[Deemed kWh Savings], MATCH(Table_PrescriptLights_Input[[#This Row],[Measure Number]], Table_Prescript_Meas[Measure Number], 0)),"" ))</f>
        <v/>
      </c>
      <c r="P11" s="81" t="str">
        <f>IF(OR(Table_PrescriptLights_Input[[#This Row],[HVAC Measure]]=References!$G$4,Table_PrescriptLights_Input[[#This Row],[HVAC Measure]]=References!$G$5),'HVAC Calcs'!$I9,IFERROR(Table_PrescriptLights_Input[[#This Row],[Number of Units]]*INDEX(Table_Prescript_Meas[Deemed kW Savings], MATCH(Table_PrescriptLights_Input[[#This Row],[Measure Number]], Table_Prescript_Meas[Measure Number], 0)),"" ))</f>
        <v/>
      </c>
      <c r="Q11" s="74" t="str">
        <f>IFERROR(Table_PrescriptLights_Input[[#This Row],[Energy Savings (kWh)]]*Input_AvgkWhRate, "")</f>
        <v/>
      </c>
      <c r="R11" s="74" t="str">
        <f>IF(Table_PrescriptLights_Input[[#This Row],[HVAC Measure]]="", "",Table_PrescriptLights_Input[[#This Row],[Total Equipment Cost]]+Table_PrescriptLights_Input[[#This Row],[Total Labor Cost]])</f>
        <v/>
      </c>
      <c r="S11" s="74" t="str">
        <f>IFERROR(Table_PrescriptLights_Input[[#This Row],[Gross Measure Cost]]-Table_PrescriptLights_Input[[#This Row],[Estimated Incentive]], "")</f>
        <v/>
      </c>
      <c r="T11" s="75" t="str">
        <f t="shared" si="0"/>
        <v/>
      </c>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row>
    <row r="12" spans="1:48" x14ac:dyDescent="0.2">
      <c r="A12" s="3"/>
      <c r="B12" s="71">
        <v>8</v>
      </c>
      <c r="C12" s="69" t="str">
        <f>IFERROR(INDEX(Table_Prescript_Meas[Measure Number], MATCH(E12, Table_Prescript_Meas[Measure Description], 0)), "")</f>
        <v/>
      </c>
      <c r="D12" s="61"/>
      <c r="E12" s="60"/>
      <c r="F12" s="69" t="str">
        <f>IFERROR(INDEX(Table_Prescript_Meas[Units], MATCH(Table_PrescriptLights_Input[[#This Row],[Measure Number]], Table_Prescript_Meas[Measure Number], 0)), "")</f>
        <v/>
      </c>
      <c r="G12" s="72"/>
      <c r="H12" s="51"/>
      <c r="I12" s="51"/>
      <c r="J12" s="51"/>
      <c r="K12" s="73"/>
      <c r="L12" s="73"/>
      <c r="M12"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12" s="74" t="str">
        <f>IFERROR(Table_PrescriptLights_Input[[#This Row],[Per-Unit Incentive]]*Table_PrescriptLights_Input[[#This Row],[Number of Units]],"")</f>
        <v/>
      </c>
      <c r="O12" s="75" t="str">
        <f>IF(OR(Table_PrescriptLights_Input[[#This Row],[HVAC Measure]]=References!$G$4,Table_PrescriptLights_Input[[#This Row],[HVAC Measure]]=References!$G$5),'HVAC Calcs'!$H10,IFERROR(Table_PrescriptLights_Input[[#This Row],[Number of Units]]*INDEX(Table_Prescript_Meas[Deemed kWh Savings], MATCH(Table_PrescriptLights_Input[[#This Row],[Measure Number]], Table_Prescript_Meas[Measure Number], 0)),"" ))</f>
        <v/>
      </c>
      <c r="P12" s="81" t="str">
        <f>IF(OR(Table_PrescriptLights_Input[[#This Row],[HVAC Measure]]=References!$G$4,Table_PrescriptLights_Input[[#This Row],[HVAC Measure]]=References!$G$5),'HVAC Calcs'!$I10,IFERROR(Table_PrescriptLights_Input[[#This Row],[Number of Units]]*INDEX(Table_Prescript_Meas[Deemed kW Savings], MATCH(Table_PrescriptLights_Input[[#This Row],[Measure Number]], Table_Prescript_Meas[Measure Number], 0)),"" ))</f>
        <v/>
      </c>
      <c r="Q12" s="74" t="str">
        <f>IFERROR(Table_PrescriptLights_Input[[#This Row],[Energy Savings (kWh)]]*Input_AvgkWhRate, "")</f>
        <v/>
      </c>
      <c r="R12" s="74" t="str">
        <f>IF(Table_PrescriptLights_Input[[#This Row],[HVAC Measure]]="", "",Table_PrescriptLights_Input[[#This Row],[Total Equipment Cost]]+Table_PrescriptLights_Input[[#This Row],[Total Labor Cost]])</f>
        <v/>
      </c>
      <c r="S12" s="74" t="str">
        <f>IFERROR(Table_PrescriptLights_Input[[#This Row],[Gross Measure Cost]]-Table_PrescriptLights_Input[[#This Row],[Estimated Incentive]], "")</f>
        <v/>
      </c>
      <c r="T12" s="75" t="str">
        <f t="shared" si="0"/>
        <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x14ac:dyDescent="0.2">
      <c r="A13" s="3"/>
      <c r="B13" s="71">
        <v>9</v>
      </c>
      <c r="C13" s="69" t="str">
        <f>IFERROR(INDEX(Table_Prescript_Meas[Measure Number], MATCH(E13, Table_Prescript_Meas[Measure Description], 0)), "")</f>
        <v/>
      </c>
      <c r="D13" s="61"/>
      <c r="E13" s="60"/>
      <c r="F13" s="69" t="str">
        <f>IFERROR(INDEX(Table_Prescript_Meas[Units], MATCH(Table_PrescriptLights_Input[[#This Row],[Measure Number]], Table_Prescript_Meas[Measure Number], 0)), "")</f>
        <v/>
      </c>
      <c r="G13" s="72"/>
      <c r="H13" s="51"/>
      <c r="I13" s="51"/>
      <c r="J13" s="51"/>
      <c r="K13" s="73"/>
      <c r="L13" s="73"/>
      <c r="M13"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13" s="74" t="str">
        <f>IFERROR(Table_PrescriptLights_Input[[#This Row],[Per-Unit Incentive]]*Table_PrescriptLights_Input[[#This Row],[Number of Units]],"")</f>
        <v/>
      </c>
      <c r="O13" s="75" t="str">
        <f>IF(OR(Table_PrescriptLights_Input[[#This Row],[HVAC Measure]]=References!$G$4,Table_PrescriptLights_Input[[#This Row],[HVAC Measure]]=References!$G$5),'HVAC Calcs'!$H11,IFERROR(Table_PrescriptLights_Input[[#This Row],[Number of Units]]*INDEX(Table_Prescript_Meas[Deemed kWh Savings], MATCH(Table_PrescriptLights_Input[[#This Row],[Measure Number]], Table_Prescript_Meas[Measure Number], 0)),"" ))</f>
        <v/>
      </c>
      <c r="P13" s="81" t="str">
        <f>IF(OR(Table_PrescriptLights_Input[[#This Row],[HVAC Measure]]=References!$G$4,Table_PrescriptLights_Input[[#This Row],[HVAC Measure]]=References!$G$5),'HVAC Calcs'!$I11,IFERROR(Table_PrescriptLights_Input[[#This Row],[Number of Units]]*INDEX(Table_Prescript_Meas[Deemed kW Savings], MATCH(Table_PrescriptLights_Input[[#This Row],[Measure Number]], Table_Prescript_Meas[Measure Number], 0)),"" ))</f>
        <v/>
      </c>
      <c r="Q13" s="74" t="str">
        <f>IFERROR(Table_PrescriptLights_Input[[#This Row],[Energy Savings (kWh)]]*Input_AvgkWhRate, "")</f>
        <v/>
      </c>
      <c r="R13" s="74" t="str">
        <f>IF(Table_PrescriptLights_Input[[#This Row],[HVAC Measure]]="", "",Table_PrescriptLights_Input[[#This Row],[Total Equipment Cost]]+Table_PrescriptLights_Input[[#This Row],[Total Labor Cost]])</f>
        <v/>
      </c>
      <c r="S13" s="74" t="str">
        <f>IFERROR(Table_PrescriptLights_Input[[#This Row],[Gross Measure Cost]]-Table_PrescriptLights_Input[[#This Row],[Estimated Incentive]], "")</f>
        <v/>
      </c>
      <c r="T13" s="75" t="str">
        <f t="shared" si="0"/>
        <v/>
      </c>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row>
    <row r="14" spans="1:48" x14ac:dyDescent="0.2">
      <c r="A14" s="3"/>
      <c r="B14" s="71">
        <v>10</v>
      </c>
      <c r="C14" s="69" t="str">
        <f>IFERROR(INDEX(Table_Prescript_Meas[Measure Number], MATCH(E14, Table_Prescript_Meas[Measure Description], 0)), "")</f>
        <v/>
      </c>
      <c r="D14" s="61"/>
      <c r="E14" s="60"/>
      <c r="F14" s="69" t="str">
        <f>IFERROR(INDEX(Table_Prescript_Meas[Units], MATCH(Table_PrescriptLights_Input[[#This Row],[Measure Number]], Table_Prescript_Meas[Measure Number], 0)), "")</f>
        <v/>
      </c>
      <c r="G14" s="72"/>
      <c r="H14" s="51"/>
      <c r="I14" s="51"/>
      <c r="J14" s="51"/>
      <c r="K14" s="73"/>
      <c r="L14" s="73"/>
      <c r="M14"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14" s="74" t="str">
        <f>IFERROR(Table_PrescriptLights_Input[[#This Row],[Per-Unit Incentive]]*Table_PrescriptLights_Input[[#This Row],[Number of Units]],"")</f>
        <v/>
      </c>
      <c r="O14" s="75" t="str">
        <f>IF(OR(Table_PrescriptLights_Input[[#This Row],[HVAC Measure]]=References!$G$4,Table_PrescriptLights_Input[[#This Row],[HVAC Measure]]=References!$G$5),'HVAC Calcs'!$H12,IFERROR(Table_PrescriptLights_Input[[#This Row],[Number of Units]]*INDEX(Table_Prescript_Meas[Deemed kWh Savings], MATCH(Table_PrescriptLights_Input[[#This Row],[Measure Number]], Table_Prescript_Meas[Measure Number], 0)),"" ))</f>
        <v/>
      </c>
      <c r="P14" s="81" t="str">
        <f>IF(OR(Table_PrescriptLights_Input[[#This Row],[HVAC Measure]]=References!$G$4,Table_PrescriptLights_Input[[#This Row],[HVAC Measure]]=References!$G$5),'HVAC Calcs'!$I12,IFERROR(Table_PrescriptLights_Input[[#This Row],[Number of Units]]*INDEX(Table_Prescript_Meas[Deemed kW Savings], MATCH(Table_PrescriptLights_Input[[#This Row],[Measure Number]], Table_Prescript_Meas[Measure Number], 0)),"" ))</f>
        <v/>
      </c>
      <c r="Q14" s="74" t="str">
        <f>IFERROR(Table_PrescriptLights_Input[[#This Row],[Energy Savings (kWh)]]*Input_AvgkWhRate, "")</f>
        <v/>
      </c>
      <c r="R14" s="74" t="str">
        <f>IF(Table_PrescriptLights_Input[[#This Row],[HVAC Measure]]="", "",Table_PrescriptLights_Input[[#This Row],[Total Equipment Cost]]+Table_PrescriptLights_Input[[#This Row],[Total Labor Cost]])</f>
        <v/>
      </c>
      <c r="S14" s="74" t="str">
        <f>IFERROR(Table_PrescriptLights_Input[[#This Row],[Gross Measure Cost]]-Table_PrescriptLights_Input[[#This Row],[Estimated Incentive]], "")</f>
        <v/>
      </c>
      <c r="T14" s="75" t="str">
        <f t="shared" si="0"/>
        <v/>
      </c>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x14ac:dyDescent="0.2">
      <c r="A15" s="3"/>
      <c r="B15" s="71">
        <v>11</v>
      </c>
      <c r="C15" s="69" t="str">
        <f>IFERROR(INDEX(Table_Prescript_Meas[Measure Number], MATCH(E15, Table_Prescript_Meas[Measure Description], 0)), "")</f>
        <v/>
      </c>
      <c r="D15" s="61"/>
      <c r="E15" s="60"/>
      <c r="F15" s="69" t="str">
        <f>IFERROR(INDEX(Table_Prescript_Meas[Units], MATCH(Table_PrescriptLights_Input[[#This Row],[Measure Number]], Table_Prescript_Meas[Measure Number], 0)), "")</f>
        <v/>
      </c>
      <c r="G15" s="72"/>
      <c r="H15" s="51"/>
      <c r="I15" s="51"/>
      <c r="J15" s="51"/>
      <c r="K15" s="73"/>
      <c r="L15" s="73"/>
      <c r="M15"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15" s="74" t="str">
        <f>IFERROR(Table_PrescriptLights_Input[[#This Row],[Per-Unit Incentive]]*Table_PrescriptLights_Input[[#This Row],[Number of Units]],"")</f>
        <v/>
      </c>
      <c r="O15" s="75" t="str">
        <f>IF(OR(Table_PrescriptLights_Input[[#This Row],[HVAC Measure]]=References!$G$4,Table_PrescriptLights_Input[[#This Row],[HVAC Measure]]=References!$G$5),'HVAC Calcs'!$H13,IFERROR(Table_PrescriptLights_Input[[#This Row],[Number of Units]]*INDEX(Table_Prescript_Meas[Deemed kWh Savings], MATCH(Table_PrescriptLights_Input[[#This Row],[Measure Number]], Table_Prescript_Meas[Measure Number], 0)),"" ))</f>
        <v/>
      </c>
      <c r="P15" s="81" t="str">
        <f>IF(OR(Table_PrescriptLights_Input[[#This Row],[HVAC Measure]]=References!$G$4,Table_PrescriptLights_Input[[#This Row],[HVAC Measure]]=References!$G$5),'HVAC Calcs'!$I13,IFERROR(Table_PrescriptLights_Input[[#This Row],[Number of Units]]*INDEX(Table_Prescript_Meas[Deemed kW Savings], MATCH(Table_PrescriptLights_Input[[#This Row],[Measure Number]], Table_Prescript_Meas[Measure Number], 0)),"" ))</f>
        <v/>
      </c>
      <c r="Q15" s="74" t="str">
        <f>IFERROR(Table_PrescriptLights_Input[[#This Row],[Energy Savings (kWh)]]*Input_AvgkWhRate, "")</f>
        <v/>
      </c>
      <c r="R15" s="74" t="str">
        <f>IF(Table_PrescriptLights_Input[[#This Row],[HVAC Measure]]="", "",Table_PrescriptLights_Input[[#This Row],[Total Equipment Cost]]+Table_PrescriptLights_Input[[#This Row],[Total Labor Cost]])</f>
        <v/>
      </c>
      <c r="S15" s="74" t="str">
        <f>IFERROR(Table_PrescriptLights_Input[[#This Row],[Gross Measure Cost]]-Table_PrescriptLights_Input[[#This Row],[Estimated Incentive]], "")</f>
        <v/>
      </c>
      <c r="T15" s="75" t="str">
        <f t="shared" si="0"/>
        <v/>
      </c>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x14ac:dyDescent="0.2">
      <c r="A16" s="3"/>
      <c r="B16" s="71">
        <v>12</v>
      </c>
      <c r="C16" s="69" t="str">
        <f>IFERROR(INDEX(Table_Prescript_Meas[Measure Number], MATCH(E16, Table_Prescript_Meas[Measure Description], 0)), "")</f>
        <v/>
      </c>
      <c r="D16" s="61"/>
      <c r="E16" s="60"/>
      <c r="F16" s="69" t="str">
        <f>IFERROR(INDEX(Table_Prescript_Meas[Units], MATCH(Table_PrescriptLights_Input[[#This Row],[Measure Number]], Table_Prescript_Meas[Measure Number], 0)), "")</f>
        <v/>
      </c>
      <c r="G16" s="72"/>
      <c r="H16" s="51"/>
      <c r="I16" s="51"/>
      <c r="J16" s="51"/>
      <c r="K16" s="73"/>
      <c r="L16" s="73"/>
      <c r="M16"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16" s="74" t="str">
        <f>IFERROR(Table_PrescriptLights_Input[[#This Row],[Per-Unit Incentive]]*Table_PrescriptLights_Input[[#This Row],[Number of Units]],"")</f>
        <v/>
      </c>
      <c r="O16" s="75" t="str">
        <f>IF(OR(Table_PrescriptLights_Input[[#This Row],[HVAC Measure]]=References!$G$4,Table_PrescriptLights_Input[[#This Row],[HVAC Measure]]=References!$G$5),'HVAC Calcs'!$H14,IFERROR(Table_PrescriptLights_Input[[#This Row],[Number of Units]]*INDEX(Table_Prescript_Meas[Deemed kWh Savings], MATCH(Table_PrescriptLights_Input[[#This Row],[Measure Number]], Table_Prescript_Meas[Measure Number], 0)),"" ))</f>
        <v/>
      </c>
      <c r="P16" s="81" t="str">
        <f>IF(OR(Table_PrescriptLights_Input[[#This Row],[HVAC Measure]]=References!$G$4,Table_PrescriptLights_Input[[#This Row],[HVAC Measure]]=References!$G$5),'HVAC Calcs'!$I14,IFERROR(Table_PrescriptLights_Input[[#This Row],[Number of Units]]*INDEX(Table_Prescript_Meas[Deemed kW Savings], MATCH(Table_PrescriptLights_Input[[#This Row],[Measure Number]], Table_Prescript_Meas[Measure Number], 0)),"" ))</f>
        <v/>
      </c>
      <c r="Q16" s="74" t="str">
        <f>IFERROR(Table_PrescriptLights_Input[[#This Row],[Energy Savings (kWh)]]*Input_AvgkWhRate, "")</f>
        <v/>
      </c>
      <c r="R16" s="74" t="str">
        <f>IF(Table_PrescriptLights_Input[[#This Row],[HVAC Measure]]="", "",Table_PrescriptLights_Input[[#This Row],[Total Equipment Cost]]+Table_PrescriptLights_Input[[#This Row],[Total Labor Cost]])</f>
        <v/>
      </c>
      <c r="S16" s="74" t="str">
        <f>IFERROR(Table_PrescriptLights_Input[[#This Row],[Gross Measure Cost]]-Table_PrescriptLights_Input[[#This Row],[Estimated Incentive]], "")</f>
        <v/>
      </c>
      <c r="T16" s="75" t="str">
        <f t="shared" si="0"/>
        <v/>
      </c>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x14ac:dyDescent="0.2">
      <c r="A17" s="3"/>
      <c r="B17" s="71">
        <v>13</v>
      </c>
      <c r="C17" s="69" t="str">
        <f>IFERROR(INDEX(Table_Prescript_Meas[Measure Number], MATCH(E17, Table_Prescript_Meas[Measure Description], 0)), "")</f>
        <v/>
      </c>
      <c r="D17" s="61"/>
      <c r="E17" s="60"/>
      <c r="F17" s="69" t="str">
        <f>IFERROR(INDEX(Table_Prescript_Meas[Units], MATCH(Table_PrescriptLights_Input[[#This Row],[Measure Number]], Table_Prescript_Meas[Measure Number], 0)), "")</f>
        <v/>
      </c>
      <c r="G17" s="72"/>
      <c r="H17" s="51"/>
      <c r="I17" s="51"/>
      <c r="J17" s="51"/>
      <c r="K17" s="73"/>
      <c r="L17" s="73"/>
      <c r="M17"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17" s="74" t="str">
        <f>IFERROR(Table_PrescriptLights_Input[[#This Row],[Per-Unit Incentive]]*Table_PrescriptLights_Input[[#This Row],[Number of Units]],"")</f>
        <v/>
      </c>
      <c r="O17" s="75" t="str">
        <f>IF(OR(Table_PrescriptLights_Input[[#This Row],[HVAC Measure]]=References!$G$4,Table_PrescriptLights_Input[[#This Row],[HVAC Measure]]=References!$G$5),'HVAC Calcs'!$H15,IFERROR(Table_PrescriptLights_Input[[#This Row],[Number of Units]]*INDEX(Table_Prescript_Meas[Deemed kWh Savings], MATCH(Table_PrescriptLights_Input[[#This Row],[Measure Number]], Table_Prescript_Meas[Measure Number], 0)),"" ))</f>
        <v/>
      </c>
      <c r="P17" s="81" t="str">
        <f>IF(OR(Table_PrescriptLights_Input[[#This Row],[HVAC Measure]]=References!$G$4,Table_PrescriptLights_Input[[#This Row],[HVAC Measure]]=References!$G$5),'HVAC Calcs'!$I15,IFERROR(Table_PrescriptLights_Input[[#This Row],[Number of Units]]*INDEX(Table_Prescript_Meas[Deemed kW Savings], MATCH(Table_PrescriptLights_Input[[#This Row],[Measure Number]], Table_Prescript_Meas[Measure Number], 0)),"" ))</f>
        <v/>
      </c>
      <c r="Q17" s="74" t="str">
        <f>IFERROR(Table_PrescriptLights_Input[[#This Row],[Energy Savings (kWh)]]*Input_AvgkWhRate, "")</f>
        <v/>
      </c>
      <c r="R17" s="74" t="str">
        <f>IF(Table_PrescriptLights_Input[[#This Row],[HVAC Measure]]="", "",Table_PrescriptLights_Input[[#This Row],[Total Equipment Cost]]+Table_PrescriptLights_Input[[#This Row],[Total Labor Cost]])</f>
        <v/>
      </c>
      <c r="S17" s="74" t="str">
        <f>IFERROR(Table_PrescriptLights_Input[[#This Row],[Gross Measure Cost]]-Table_PrescriptLights_Input[[#This Row],[Estimated Incentive]], "")</f>
        <v/>
      </c>
      <c r="T17" s="75" t="str">
        <f t="shared" si="0"/>
        <v/>
      </c>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row>
    <row r="18" spans="1:48" x14ac:dyDescent="0.2">
      <c r="A18" s="3"/>
      <c r="B18" s="71">
        <v>14</v>
      </c>
      <c r="C18" s="69" t="str">
        <f>IFERROR(INDEX(Table_Prescript_Meas[Measure Number], MATCH(E18, Table_Prescript_Meas[Measure Description], 0)), "")</f>
        <v/>
      </c>
      <c r="D18" s="61"/>
      <c r="E18" s="60"/>
      <c r="F18" s="69" t="str">
        <f>IFERROR(INDEX(Table_Prescript_Meas[Units], MATCH(Table_PrescriptLights_Input[[#This Row],[Measure Number]], Table_Prescript_Meas[Measure Number], 0)), "")</f>
        <v/>
      </c>
      <c r="G18" s="72"/>
      <c r="H18" s="51"/>
      <c r="I18" s="51"/>
      <c r="J18" s="51"/>
      <c r="K18" s="73"/>
      <c r="L18" s="73"/>
      <c r="M18"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18" s="74" t="str">
        <f>IFERROR(Table_PrescriptLights_Input[[#This Row],[Per-Unit Incentive]]*Table_PrescriptLights_Input[[#This Row],[Number of Units]],"")</f>
        <v/>
      </c>
      <c r="O18" s="75" t="str">
        <f>IF(OR(Table_PrescriptLights_Input[[#This Row],[HVAC Measure]]=References!$G$4,Table_PrescriptLights_Input[[#This Row],[HVAC Measure]]=References!$G$5),'HVAC Calcs'!$H16,IFERROR(Table_PrescriptLights_Input[[#This Row],[Number of Units]]*INDEX(Table_Prescript_Meas[Deemed kWh Savings], MATCH(Table_PrescriptLights_Input[[#This Row],[Measure Number]], Table_Prescript_Meas[Measure Number], 0)),"" ))</f>
        <v/>
      </c>
      <c r="P18" s="81" t="str">
        <f>IF(OR(Table_PrescriptLights_Input[[#This Row],[HVAC Measure]]=References!$G$4,Table_PrescriptLights_Input[[#This Row],[HVAC Measure]]=References!$G$5),'HVAC Calcs'!$I16,IFERROR(Table_PrescriptLights_Input[[#This Row],[Number of Units]]*INDEX(Table_Prescript_Meas[Deemed kW Savings], MATCH(Table_PrescriptLights_Input[[#This Row],[Measure Number]], Table_Prescript_Meas[Measure Number], 0)),"" ))</f>
        <v/>
      </c>
      <c r="Q18" s="74" t="str">
        <f>IFERROR(Table_PrescriptLights_Input[[#This Row],[Energy Savings (kWh)]]*Input_AvgkWhRate, "")</f>
        <v/>
      </c>
      <c r="R18" s="74" t="str">
        <f>IF(Table_PrescriptLights_Input[[#This Row],[HVAC Measure]]="", "",Table_PrescriptLights_Input[[#This Row],[Total Equipment Cost]]+Table_PrescriptLights_Input[[#This Row],[Total Labor Cost]])</f>
        <v/>
      </c>
      <c r="S18" s="74" t="str">
        <f>IFERROR(Table_PrescriptLights_Input[[#This Row],[Gross Measure Cost]]-Table_PrescriptLights_Input[[#This Row],[Estimated Incentive]], "")</f>
        <v/>
      </c>
      <c r="T18" s="75" t="str">
        <f t="shared" si="0"/>
        <v/>
      </c>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row>
    <row r="19" spans="1:48" x14ac:dyDescent="0.2">
      <c r="A19" s="3"/>
      <c r="B19" s="71">
        <v>15</v>
      </c>
      <c r="C19" s="69" t="str">
        <f>IFERROR(INDEX(Table_Prescript_Meas[Measure Number], MATCH(E19, Table_Prescript_Meas[Measure Description], 0)), "")</f>
        <v/>
      </c>
      <c r="D19" s="61"/>
      <c r="E19" s="60"/>
      <c r="F19" s="69" t="str">
        <f>IFERROR(INDEX(Table_Prescript_Meas[Units], MATCH(Table_PrescriptLights_Input[[#This Row],[Measure Number]], Table_Prescript_Meas[Measure Number], 0)), "")</f>
        <v/>
      </c>
      <c r="G19" s="72"/>
      <c r="H19" s="51"/>
      <c r="I19" s="51"/>
      <c r="J19" s="51"/>
      <c r="K19" s="73"/>
      <c r="L19" s="73"/>
      <c r="M19"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19" s="74" t="str">
        <f>IFERROR(Table_PrescriptLights_Input[[#This Row],[Per-Unit Incentive]]*Table_PrescriptLights_Input[[#This Row],[Number of Units]],"")</f>
        <v/>
      </c>
      <c r="O19" s="75" t="str">
        <f>IF(OR(Table_PrescriptLights_Input[[#This Row],[HVAC Measure]]=References!$G$4,Table_PrescriptLights_Input[[#This Row],[HVAC Measure]]=References!$G$5),'HVAC Calcs'!$H17,IFERROR(Table_PrescriptLights_Input[[#This Row],[Number of Units]]*INDEX(Table_Prescript_Meas[Deemed kWh Savings], MATCH(Table_PrescriptLights_Input[[#This Row],[Measure Number]], Table_Prescript_Meas[Measure Number], 0)),"" ))</f>
        <v/>
      </c>
      <c r="P19" s="81" t="str">
        <f>IF(OR(Table_PrescriptLights_Input[[#This Row],[HVAC Measure]]=References!$G$4,Table_PrescriptLights_Input[[#This Row],[HVAC Measure]]=References!$G$5),'HVAC Calcs'!$I17,IFERROR(Table_PrescriptLights_Input[[#This Row],[Number of Units]]*INDEX(Table_Prescript_Meas[Deemed kW Savings], MATCH(Table_PrescriptLights_Input[[#This Row],[Measure Number]], Table_Prescript_Meas[Measure Number], 0)),"" ))</f>
        <v/>
      </c>
      <c r="Q19" s="74" t="str">
        <f>IFERROR(Table_PrescriptLights_Input[[#This Row],[Energy Savings (kWh)]]*Input_AvgkWhRate, "")</f>
        <v/>
      </c>
      <c r="R19" s="74" t="str">
        <f>IF(Table_PrescriptLights_Input[[#This Row],[HVAC Measure]]="", "",Table_PrescriptLights_Input[[#This Row],[Total Equipment Cost]]+Table_PrescriptLights_Input[[#This Row],[Total Labor Cost]])</f>
        <v/>
      </c>
      <c r="S19" s="74" t="str">
        <f>IFERROR(Table_PrescriptLights_Input[[#This Row],[Gross Measure Cost]]-Table_PrescriptLights_Input[[#This Row],[Estimated Incentive]], "")</f>
        <v/>
      </c>
      <c r="T19" s="75" t="str">
        <f t="shared" si="0"/>
        <v/>
      </c>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row>
    <row r="20" spans="1:48" x14ac:dyDescent="0.2">
      <c r="A20" s="3"/>
      <c r="B20" s="71">
        <v>16</v>
      </c>
      <c r="C20" s="69" t="str">
        <f>IFERROR(INDEX(Table_Prescript_Meas[Measure Number], MATCH(E20, Table_Prescript_Meas[Measure Description], 0)), "")</f>
        <v/>
      </c>
      <c r="D20" s="61"/>
      <c r="E20" s="60"/>
      <c r="F20" s="69" t="str">
        <f>IFERROR(INDEX(Table_Prescript_Meas[Units], MATCH(Table_PrescriptLights_Input[[#This Row],[Measure Number]], Table_Prescript_Meas[Measure Number], 0)), "")</f>
        <v/>
      </c>
      <c r="G20" s="72"/>
      <c r="H20" s="51"/>
      <c r="I20" s="51"/>
      <c r="J20" s="51"/>
      <c r="K20" s="73"/>
      <c r="L20" s="73"/>
      <c r="M20"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20" s="74" t="str">
        <f>IFERROR(Table_PrescriptLights_Input[[#This Row],[Per-Unit Incentive]]*Table_PrescriptLights_Input[[#This Row],[Number of Units]],"")</f>
        <v/>
      </c>
      <c r="O20" s="75" t="str">
        <f>IF(OR(Table_PrescriptLights_Input[[#This Row],[HVAC Measure]]=References!$G$4,Table_PrescriptLights_Input[[#This Row],[HVAC Measure]]=References!$G$5),'HVAC Calcs'!$H18,IFERROR(Table_PrescriptLights_Input[[#This Row],[Number of Units]]*INDEX(Table_Prescript_Meas[Deemed kWh Savings], MATCH(Table_PrescriptLights_Input[[#This Row],[Measure Number]], Table_Prescript_Meas[Measure Number], 0)),"" ))</f>
        <v/>
      </c>
      <c r="P20" s="81" t="str">
        <f>IF(OR(Table_PrescriptLights_Input[[#This Row],[HVAC Measure]]=References!$G$4,Table_PrescriptLights_Input[[#This Row],[HVAC Measure]]=References!$G$5),'HVAC Calcs'!$I18,IFERROR(Table_PrescriptLights_Input[[#This Row],[Number of Units]]*INDEX(Table_Prescript_Meas[Deemed kW Savings], MATCH(Table_PrescriptLights_Input[[#This Row],[Measure Number]], Table_Prescript_Meas[Measure Number], 0)),"" ))</f>
        <v/>
      </c>
      <c r="Q20" s="74" t="str">
        <f>IFERROR(Table_PrescriptLights_Input[[#This Row],[Energy Savings (kWh)]]*Input_AvgkWhRate, "")</f>
        <v/>
      </c>
      <c r="R20" s="74" t="str">
        <f>IF(Table_PrescriptLights_Input[[#This Row],[HVAC Measure]]="", "",Table_PrescriptLights_Input[[#This Row],[Total Equipment Cost]]+Table_PrescriptLights_Input[[#This Row],[Total Labor Cost]])</f>
        <v/>
      </c>
      <c r="S20" s="74" t="str">
        <f>IFERROR(Table_PrescriptLights_Input[[#This Row],[Gross Measure Cost]]-Table_PrescriptLights_Input[[#This Row],[Estimated Incentive]], "")</f>
        <v/>
      </c>
      <c r="T20" s="75" t="str">
        <f t="shared" si="0"/>
        <v/>
      </c>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x14ac:dyDescent="0.2">
      <c r="A21" s="3"/>
      <c r="B21" s="71">
        <v>17</v>
      </c>
      <c r="C21" s="69" t="str">
        <f>IFERROR(INDEX(Table_Prescript_Meas[Measure Number], MATCH(E21, Table_Prescript_Meas[Measure Description], 0)), "")</f>
        <v/>
      </c>
      <c r="D21" s="61"/>
      <c r="E21" s="60"/>
      <c r="F21" s="69" t="str">
        <f>IFERROR(INDEX(Table_Prescript_Meas[Units], MATCH(Table_PrescriptLights_Input[[#This Row],[Measure Number]], Table_Prescript_Meas[Measure Number], 0)), "")</f>
        <v/>
      </c>
      <c r="G21" s="72"/>
      <c r="H21" s="51"/>
      <c r="I21" s="51"/>
      <c r="J21" s="51"/>
      <c r="K21" s="73"/>
      <c r="L21" s="73"/>
      <c r="M21"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21" s="74" t="str">
        <f>IFERROR(Table_PrescriptLights_Input[[#This Row],[Per-Unit Incentive]]*Table_PrescriptLights_Input[[#This Row],[Number of Units]],"")</f>
        <v/>
      </c>
      <c r="O21" s="75" t="str">
        <f>IF(OR(Table_PrescriptLights_Input[[#This Row],[HVAC Measure]]=References!$G$4,Table_PrescriptLights_Input[[#This Row],[HVAC Measure]]=References!$G$5),'HVAC Calcs'!$H19,IFERROR(Table_PrescriptLights_Input[[#This Row],[Number of Units]]*INDEX(Table_Prescript_Meas[Deemed kWh Savings], MATCH(Table_PrescriptLights_Input[[#This Row],[Measure Number]], Table_Prescript_Meas[Measure Number], 0)),"" ))</f>
        <v/>
      </c>
      <c r="P21" s="81" t="str">
        <f>IF(OR(Table_PrescriptLights_Input[[#This Row],[HVAC Measure]]=References!$G$4,Table_PrescriptLights_Input[[#This Row],[HVAC Measure]]=References!$G$5),'HVAC Calcs'!$I19,IFERROR(Table_PrescriptLights_Input[[#This Row],[Number of Units]]*INDEX(Table_Prescript_Meas[Deemed kW Savings], MATCH(Table_PrescriptLights_Input[[#This Row],[Measure Number]], Table_Prescript_Meas[Measure Number], 0)),"" ))</f>
        <v/>
      </c>
      <c r="Q21" s="74" t="str">
        <f>IFERROR(Table_PrescriptLights_Input[[#This Row],[Energy Savings (kWh)]]*Input_AvgkWhRate, "")</f>
        <v/>
      </c>
      <c r="R21" s="74" t="str">
        <f>IF(Table_PrescriptLights_Input[[#This Row],[HVAC Measure]]="", "",Table_PrescriptLights_Input[[#This Row],[Total Equipment Cost]]+Table_PrescriptLights_Input[[#This Row],[Total Labor Cost]])</f>
        <v/>
      </c>
      <c r="S21" s="74" t="str">
        <f>IFERROR(Table_PrescriptLights_Input[[#This Row],[Gross Measure Cost]]-Table_PrescriptLights_Input[[#This Row],[Estimated Incentive]], "")</f>
        <v/>
      </c>
      <c r="T21" s="75" t="str">
        <f t="shared" si="0"/>
        <v/>
      </c>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x14ac:dyDescent="0.2">
      <c r="A22" s="3"/>
      <c r="B22" s="71">
        <v>18</v>
      </c>
      <c r="C22" s="69" t="str">
        <f>IFERROR(INDEX(Table_Prescript_Meas[Measure Number], MATCH(E22, Table_Prescript_Meas[Measure Description], 0)), "")</f>
        <v/>
      </c>
      <c r="D22" s="61"/>
      <c r="E22" s="60"/>
      <c r="F22" s="69" t="str">
        <f>IFERROR(INDEX(Table_Prescript_Meas[Units], MATCH(Table_PrescriptLights_Input[[#This Row],[Measure Number]], Table_Prescript_Meas[Measure Number], 0)), "")</f>
        <v/>
      </c>
      <c r="G22" s="72"/>
      <c r="H22" s="51"/>
      <c r="I22" s="51"/>
      <c r="J22" s="51"/>
      <c r="K22" s="73"/>
      <c r="L22" s="73"/>
      <c r="M22"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22" s="74" t="str">
        <f>IFERROR(Table_PrescriptLights_Input[[#This Row],[Per-Unit Incentive]]*Table_PrescriptLights_Input[[#This Row],[Number of Units]],"")</f>
        <v/>
      </c>
      <c r="O22" s="75" t="str">
        <f>IF(OR(Table_PrescriptLights_Input[[#This Row],[HVAC Measure]]=References!$G$4,Table_PrescriptLights_Input[[#This Row],[HVAC Measure]]=References!$G$5),'HVAC Calcs'!$H20,IFERROR(Table_PrescriptLights_Input[[#This Row],[Number of Units]]*INDEX(Table_Prescript_Meas[Deemed kWh Savings], MATCH(Table_PrescriptLights_Input[[#This Row],[Measure Number]], Table_Prescript_Meas[Measure Number], 0)),"" ))</f>
        <v/>
      </c>
      <c r="P22" s="81" t="str">
        <f>IF(OR(Table_PrescriptLights_Input[[#This Row],[HVAC Measure]]=References!$G$4,Table_PrescriptLights_Input[[#This Row],[HVAC Measure]]=References!$G$5),'HVAC Calcs'!$I20,IFERROR(Table_PrescriptLights_Input[[#This Row],[Number of Units]]*INDEX(Table_Prescript_Meas[Deemed kW Savings], MATCH(Table_PrescriptLights_Input[[#This Row],[Measure Number]], Table_Prescript_Meas[Measure Number], 0)),"" ))</f>
        <v/>
      </c>
      <c r="Q22" s="74" t="str">
        <f>IFERROR(Table_PrescriptLights_Input[[#This Row],[Energy Savings (kWh)]]*Input_AvgkWhRate, "")</f>
        <v/>
      </c>
      <c r="R22" s="74" t="str">
        <f>IF(Table_PrescriptLights_Input[[#This Row],[HVAC Measure]]="", "",Table_PrescriptLights_Input[[#This Row],[Total Equipment Cost]]+Table_PrescriptLights_Input[[#This Row],[Total Labor Cost]])</f>
        <v/>
      </c>
      <c r="S22" s="74" t="str">
        <f>IFERROR(Table_PrescriptLights_Input[[#This Row],[Gross Measure Cost]]-Table_PrescriptLights_Input[[#This Row],[Estimated Incentive]], "")</f>
        <v/>
      </c>
      <c r="T22" s="75" t="str">
        <f t="shared" si="0"/>
        <v/>
      </c>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row>
    <row r="23" spans="1:48" x14ac:dyDescent="0.2">
      <c r="A23" s="3"/>
      <c r="B23" s="71">
        <v>19</v>
      </c>
      <c r="C23" s="69" t="str">
        <f>IFERROR(INDEX(Table_Prescript_Meas[Measure Number], MATCH(E23, Table_Prescript_Meas[Measure Description], 0)), "")</f>
        <v/>
      </c>
      <c r="D23" s="61"/>
      <c r="E23" s="60"/>
      <c r="F23" s="69" t="str">
        <f>IFERROR(INDEX(Table_Prescript_Meas[Units], MATCH(Table_PrescriptLights_Input[[#This Row],[Measure Number]], Table_Prescript_Meas[Measure Number], 0)), "")</f>
        <v/>
      </c>
      <c r="G23" s="72"/>
      <c r="H23" s="51"/>
      <c r="I23" s="51"/>
      <c r="J23" s="51"/>
      <c r="K23" s="73"/>
      <c r="L23" s="73"/>
      <c r="M23"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23" s="74" t="str">
        <f>IFERROR(Table_PrescriptLights_Input[[#This Row],[Per-Unit Incentive]]*Table_PrescriptLights_Input[[#This Row],[Number of Units]],"")</f>
        <v/>
      </c>
      <c r="O23" s="75" t="str">
        <f>IF(OR(Table_PrescriptLights_Input[[#This Row],[HVAC Measure]]=References!$G$4,Table_PrescriptLights_Input[[#This Row],[HVAC Measure]]=References!$G$5),'HVAC Calcs'!$H21,IFERROR(Table_PrescriptLights_Input[[#This Row],[Number of Units]]*INDEX(Table_Prescript_Meas[Deemed kWh Savings], MATCH(Table_PrescriptLights_Input[[#This Row],[Measure Number]], Table_Prescript_Meas[Measure Number], 0)),"" ))</f>
        <v/>
      </c>
      <c r="P23" s="81" t="str">
        <f>IF(OR(Table_PrescriptLights_Input[[#This Row],[HVAC Measure]]=References!$G$4,Table_PrescriptLights_Input[[#This Row],[HVAC Measure]]=References!$G$5),'HVAC Calcs'!$I21,IFERROR(Table_PrescriptLights_Input[[#This Row],[Number of Units]]*INDEX(Table_Prescript_Meas[Deemed kW Savings], MATCH(Table_PrescriptLights_Input[[#This Row],[Measure Number]], Table_Prescript_Meas[Measure Number], 0)),"" ))</f>
        <v/>
      </c>
      <c r="Q23" s="74" t="str">
        <f>IFERROR(Table_PrescriptLights_Input[[#This Row],[Energy Savings (kWh)]]*Input_AvgkWhRate, "")</f>
        <v/>
      </c>
      <c r="R23" s="74" t="str">
        <f>IF(Table_PrescriptLights_Input[[#This Row],[HVAC Measure]]="", "",Table_PrescriptLights_Input[[#This Row],[Total Equipment Cost]]+Table_PrescriptLights_Input[[#This Row],[Total Labor Cost]])</f>
        <v/>
      </c>
      <c r="S23" s="74" t="str">
        <f>IFERROR(Table_PrescriptLights_Input[[#This Row],[Gross Measure Cost]]-Table_PrescriptLights_Input[[#This Row],[Estimated Incentive]], "")</f>
        <v/>
      </c>
      <c r="T23" s="75" t="str">
        <f t="shared" si="0"/>
        <v/>
      </c>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row>
    <row r="24" spans="1:48" x14ac:dyDescent="0.2">
      <c r="A24" s="3"/>
      <c r="B24" s="71">
        <v>20</v>
      </c>
      <c r="C24" s="69" t="str">
        <f>IFERROR(INDEX(Table_Prescript_Meas[Measure Number], MATCH(E24, Table_Prescript_Meas[Measure Description], 0)), "")</f>
        <v/>
      </c>
      <c r="D24" s="61"/>
      <c r="E24" s="60"/>
      <c r="F24" s="69" t="str">
        <f>IFERROR(INDEX(Table_Prescript_Meas[Units], MATCH(Table_PrescriptLights_Input[[#This Row],[Measure Number]], Table_Prescript_Meas[Measure Number], 0)), "")</f>
        <v/>
      </c>
      <c r="G24" s="72"/>
      <c r="H24" s="51"/>
      <c r="I24" s="51"/>
      <c r="J24" s="51"/>
      <c r="K24" s="73"/>
      <c r="L24" s="73"/>
      <c r="M24"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24" s="74" t="str">
        <f>IFERROR(Table_PrescriptLights_Input[[#This Row],[Per-Unit Incentive]]*Table_PrescriptLights_Input[[#This Row],[Number of Units]],"")</f>
        <v/>
      </c>
      <c r="O24" s="75" t="str">
        <f>IF(OR(Table_PrescriptLights_Input[[#This Row],[HVAC Measure]]=References!$G$4,Table_PrescriptLights_Input[[#This Row],[HVAC Measure]]=References!$G$5),'HVAC Calcs'!$H22,IFERROR(Table_PrescriptLights_Input[[#This Row],[Number of Units]]*INDEX(Table_Prescript_Meas[Deemed kWh Savings], MATCH(Table_PrescriptLights_Input[[#This Row],[Measure Number]], Table_Prescript_Meas[Measure Number], 0)),"" ))</f>
        <v/>
      </c>
      <c r="P24" s="81" t="str">
        <f>IF(OR(Table_PrescriptLights_Input[[#This Row],[HVAC Measure]]=References!$G$4,Table_PrescriptLights_Input[[#This Row],[HVAC Measure]]=References!$G$5),'HVAC Calcs'!$I22,IFERROR(Table_PrescriptLights_Input[[#This Row],[Number of Units]]*INDEX(Table_Prescript_Meas[Deemed kW Savings], MATCH(Table_PrescriptLights_Input[[#This Row],[Measure Number]], Table_Prescript_Meas[Measure Number], 0)),"" ))</f>
        <v/>
      </c>
      <c r="Q24" s="74" t="str">
        <f>IFERROR(Table_PrescriptLights_Input[[#This Row],[Energy Savings (kWh)]]*Input_AvgkWhRate, "")</f>
        <v/>
      </c>
      <c r="R24" s="74" t="str">
        <f>IF(Table_PrescriptLights_Input[[#This Row],[HVAC Measure]]="", "",Table_PrescriptLights_Input[[#This Row],[Total Equipment Cost]]+Table_PrescriptLights_Input[[#This Row],[Total Labor Cost]])</f>
        <v/>
      </c>
      <c r="S24" s="74" t="str">
        <f>IFERROR(Table_PrescriptLights_Input[[#This Row],[Gross Measure Cost]]-Table_PrescriptLights_Input[[#This Row],[Estimated Incentive]], "")</f>
        <v/>
      </c>
      <c r="T24" s="75" t="str">
        <f t="shared" si="0"/>
        <v/>
      </c>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row>
    <row r="25" spans="1:48" x14ac:dyDescent="0.2">
      <c r="A25" s="3"/>
      <c r="B25" s="71">
        <v>21</v>
      </c>
      <c r="C25" s="69" t="str">
        <f>IFERROR(INDEX(Table_Prescript_Meas[Measure Number], MATCH(E25, Table_Prescript_Meas[Measure Description], 0)), "")</f>
        <v/>
      </c>
      <c r="D25" s="61"/>
      <c r="E25" s="60"/>
      <c r="F25" s="69" t="str">
        <f>IFERROR(INDEX(Table_Prescript_Meas[Units], MATCH(Table_PrescriptLights_Input[[#This Row],[Measure Number]], Table_Prescript_Meas[Measure Number], 0)), "")</f>
        <v/>
      </c>
      <c r="G25" s="72"/>
      <c r="H25" s="51"/>
      <c r="I25" s="51"/>
      <c r="J25" s="51"/>
      <c r="K25" s="73"/>
      <c r="L25" s="73"/>
      <c r="M25"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25" s="74" t="str">
        <f>IFERROR(Table_PrescriptLights_Input[[#This Row],[Per-Unit Incentive]]*Table_PrescriptLights_Input[[#This Row],[Number of Units]],"")</f>
        <v/>
      </c>
      <c r="O25" s="75" t="str">
        <f>IF(OR(Table_PrescriptLights_Input[[#This Row],[HVAC Measure]]=References!$G$4,Table_PrescriptLights_Input[[#This Row],[HVAC Measure]]=References!$G$5),'HVAC Calcs'!$H23,IFERROR(Table_PrescriptLights_Input[[#This Row],[Number of Units]]*INDEX(Table_Prescript_Meas[Deemed kWh Savings], MATCH(Table_PrescriptLights_Input[[#This Row],[Measure Number]], Table_Prescript_Meas[Measure Number], 0)),"" ))</f>
        <v/>
      </c>
      <c r="P25" s="81" t="str">
        <f>IF(OR(Table_PrescriptLights_Input[[#This Row],[HVAC Measure]]=References!$G$4,Table_PrescriptLights_Input[[#This Row],[HVAC Measure]]=References!$G$5),'HVAC Calcs'!$I23,IFERROR(Table_PrescriptLights_Input[[#This Row],[Number of Units]]*INDEX(Table_Prescript_Meas[Deemed kW Savings], MATCH(Table_PrescriptLights_Input[[#This Row],[Measure Number]], Table_Prescript_Meas[Measure Number], 0)),"" ))</f>
        <v/>
      </c>
      <c r="Q25" s="74" t="str">
        <f>IFERROR(Table_PrescriptLights_Input[[#This Row],[Energy Savings (kWh)]]*Input_AvgkWhRate, "")</f>
        <v/>
      </c>
      <c r="R25" s="74" t="str">
        <f>IF(Table_PrescriptLights_Input[[#This Row],[HVAC Measure]]="", "",Table_PrescriptLights_Input[[#This Row],[Total Equipment Cost]]+Table_PrescriptLights_Input[[#This Row],[Total Labor Cost]])</f>
        <v/>
      </c>
      <c r="S25" s="74" t="str">
        <f>IFERROR(Table_PrescriptLights_Input[[#This Row],[Gross Measure Cost]]-Table_PrescriptLights_Input[[#This Row],[Estimated Incentive]], "")</f>
        <v/>
      </c>
      <c r="T25" s="75" t="str">
        <f t="shared" si="0"/>
        <v/>
      </c>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row>
    <row r="26" spans="1:48" x14ac:dyDescent="0.2">
      <c r="A26" s="3"/>
      <c r="B26" s="71">
        <v>22</v>
      </c>
      <c r="C26" s="69" t="str">
        <f>IFERROR(INDEX(Table_Prescript_Meas[Measure Number], MATCH(E26, Table_Prescript_Meas[Measure Description], 0)), "")</f>
        <v/>
      </c>
      <c r="D26" s="61"/>
      <c r="E26" s="60"/>
      <c r="F26" s="69" t="str">
        <f>IFERROR(INDEX(Table_Prescript_Meas[Units], MATCH(Table_PrescriptLights_Input[[#This Row],[Measure Number]], Table_Prescript_Meas[Measure Number], 0)), "")</f>
        <v/>
      </c>
      <c r="G26" s="72"/>
      <c r="H26" s="51"/>
      <c r="I26" s="51"/>
      <c r="J26" s="51"/>
      <c r="K26" s="73"/>
      <c r="L26" s="73"/>
      <c r="M26"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26" s="74" t="str">
        <f>IFERROR(Table_PrescriptLights_Input[[#This Row],[Per-Unit Incentive]]*Table_PrescriptLights_Input[[#This Row],[Number of Units]],"")</f>
        <v/>
      </c>
      <c r="O26" s="75" t="str">
        <f>IF(OR(Table_PrescriptLights_Input[[#This Row],[HVAC Measure]]=References!$G$4,Table_PrescriptLights_Input[[#This Row],[HVAC Measure]]=References!$G$5),'HVAC Calcs'!$H24,IFERROR(Table_PrescriptLights_Input[[#This Row],[Number of Units]]*INDEX(Table_Prescript_Meas[Deemed kWh Savings], MATCH(Table_PrescriptLights_Input[[#This Row],[Measure Number]], Table_Prescript_Meas[Measure Number], 0)),"" ))</f>
        <v/>
      </c>
      <c r="P26" s="81" t="str">
        <f>IF(OR(Table_PrescriptLights_Input[[#This Row],[HVAC Measure]]=References!$G$4,Table_PrescriptLights_Input[[#This Row],[HVAC Measure]]=References!$G$5),'HVAC Calcs'!$I24,IFERROR(Table_PrescriptLights_Input[[#This Row],[Number of Units]]*INDEX(Table_Prescript_Meas[Deemed kW Savings], MATCH(Table_PrescriptLights_Input[[#This Row],[Measure Number]], Table_Prescript_Meas[Measure Number], 0)),"" ))</f>
        <v/>
      </c>
      <c r="Q26" s="74" t="str">
        <f>IFERROR(Table_PrescriptLights_Input[[#This Row],[Energy Savings (kWh)]]*Input_AvgkWhRate, "")</f>
        <v/>
      </c>
      <c r="R26" s="74" t="str">
        <f>IF(Table_PrescriptLights_Input[[#This Row],[HVAC Measure]]="", "",Table_PrescriptLights_Input[[#This Row],[Total Equipment Cost]]+Table_PrescriptLights_Input[[#This Row],[Total Labor Cost]])</f>
        <v/>
      </c>
      <c r="S26" s="74" t="str">
        <f>IFERROR(Table_PrescriptLights_Input[[#This Row],[Gross Measure Cost]]-Table_PrescriptLights_Input[[#This Row],[Estimated Incentive]], "")</f>
        <v/>
      </c>
      <c r="T26" s="75" t="str">
        <f t="shared" si="0"/>
        <v/>
      </c>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row>
    <row r="27" spans="1:48" x14ac:dyDescent="0.2">
      <c r="A27" s="3"/>
      <c r="B27" s="71">
        <v>23</v>
      </c>
      <c r="C27" s="69" t="str">
        <f>IFERROR(INDEX(Table_Prescript_Meas[Measure Number], MATCH(E27, Table_Prescript_Meas[Measure Description], 0)), "")</f>
        <v/>
      </c>
      <c r="D27" s="61"/>
      <c r="E27" s="60"/>
      <c r="F27" s="69" t="str">
        <f>IFERROR(INDEX(Table_Prescript_Meas[Units], MATCH(Table_PrescriptLights_Input[[#This Row],[Measure Number]], Table_Prescript_Meas[Measure Number], 0)), "")</f>
        <v/>
      </c>
      <c r="G27" s="72"/>
      <c r="H27" s="51"/>
      <c r="I27" s="51"/>
      <c r="J27" s="51"/>
      <c r="K27" s="73"/>
      <c r="L27" s="73"/>
      <c r="M27"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27" s="74" t="str">
        <f>IFERROR(Table_PrescriptLights_Input[[#This Row],[Per-Unit Incentive]]*Table_PrescriptLights_Input[[#This Row],[Number of Units]],"")</f>
        <v/>
      </c>
      <c r="O27" s="75" t="str">
        <f>IF(OR(Table_PrescriptLights_Input[[#This Row],[HVAC Measure]]=References!$G$4,Table_PrescriptLights_Input[[#This Row],[HVAC Measure]]=References!$G$5),'HVAC Calcs'!$H25,IFERROR(Table_PrescriptLights_Input[[#This Row],[Number of Units]]*INDEX(Table_Prescript_Meas[Deemed kWh Savings], MATCH(Table_PrescriptLights_Input[[#This Row],[Measure Number]], Table_Prescript_Meas[Measure Number], 0)),"" ))</f>
        <v/>
      </c>
      <c r="P27" s="81" t="str">
        <f>IF(OR(Table_PrescriptLights_Input[[#This Row],[HVAC Measure]]=References!$G$4,Table_PrescriptLights_Input[[#This Row],[HVAC Measure]]=References!$G$5),'HVAC Calcs'!$I25,IFERROR(Table_PrescriptLights_Input[[#This Row],[Number of Units]]*INDEX(Table_Prescript_Meas[Deemed kW Savings], MATCH(Table_PrescriptLights_Input[[#This Row],[Measure Number]], Table_Prescript_Meas[Measure Number], 0)),"" ))</f>
        <v/>
      </c>
      <c r="Q27" s="74" t="str">
        <f>IFERROR(Table_PrescriptLights_Input[[#This Row],[Energy Savings (kWh)]]*Input_AvgkWhRate, "")</f>
        <v/>
      </c>
      <c r="R27" s="74" t="str">
        <f>IF(Table_PrescriptLights_Input[[#This Row],[HVAC Measure]]="", "",Table_PrescriptLights_Input[[#This Row],[Total Equipment Cost]]+Table_PrescriptLights_Input[[#This Row],[Total Labor Cost]])</f>
        <v/>
      </c>
      <c r="S27" s="74" t="str">
        <f>IFERROR(Table_PrescriptLights_Input[[#This Row],[Gross Measure Cost]]-Table_PrescriptLights_Input[[#This Row],[Estimated Incentive]], "")</f>
        <v/>
      </c>
      <c r="T27" s="75" t="str">
        <f t="shared" si="0"/>
        <v/>
      </c>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row>
    <row r="28" spans="1:48" x14ac:dyDescent="0.2">
      <c r="A28" s="3"/>
      <c r="B28" s="71">
        <v>24</v>
      </c>
      <c r="C28" s="69" t="str">
        <f>IFERROR(INDEX(Table_Prescript_Meas[Measure Number], MATCH(E28, Table_Prescript_Meas[Measure Description], 0)), "")</f>
        <v/>
      </c>
      <c r="D28" s="61"/>
      <c r="E28" s="60"/>
      <c r="F28" s="69" t="str">
        <f>IFERROR(INDEX(Table_Prescript_Meas[Units], MATCH(Table_PrescriptLights_Input[[#This Row],[Measure Number]], Table_Prescript_Meas[Measure Number], 0)), "")</f>
        <v/>
      </c>
      <c r="G28" s="72"/>
      <c r="H28" s="51"/>
      <c r="I28" s="51"/>
      <c r="J28" s="51"/>
      <c r="K28" s="73"/>
      <c r="L28" s="73"/>
      <c r="M28"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28" s="74" t="str">
        <f>IFERROR(Table_PrescriptLights_Input[[#This Row],[Per-Unit Incentive]]*Table_PrescriptLights_Input[[#This Row],[Number of Units]],"")</f>
        <v/>
      </c>
      <c r="O28" s="75" t="str">
        <f>IF(OR(Table_PrescriptLights_Input[[#This Row],[HVAC Measure]]=References!$G$4,Table_PrescriptLights_Input[[#This Row],[HVAC Measure]]=References!$G$5),'HVAC Calcs'!$H26,IFERROR(Table_PrescriptLights_Input[[#This Row],[Number of Units]]*INDEX(Table_Prescript_Meas[Deemed kWh Savings], MATCH(Table_PrescriptLights_Input[[#This Row],[Measure Number]], Table_Prescript_Meas[Measure Number], 0)),"" ))</f>
        <v/>
      </c>
      <c r="P28" s="81" t="str">
        <f>IF(OR(Table_PrescriptLights_Input[[#This Row],[HVAC Measure]]=References!$G$4,Table_PrescriptLights_Input[[#This Row],[HVAC Measure]]=References!$G$5),'HVAC Calcs'!$I26,IFERROR(Table_PrescriptLights_Input[[#This Row],[Number of Units]]*INDEX(Table_Prescript_Meas[Deemed kW Savings], MATCH(Table_PrescriptLights_Input[[#This Row],[Measure Number]], Table_Prescript_Meas[Measure Number], 0)),"" ))</f>
        <v/>
      </c>
      <c r="Q28" s="74" t="str">
        <f>IFERROR(Table_PrescriptLights_Input[[#This Row],[Energy Savings (kWh)]]*Input_AvgkWhRate, "")</f>
        <v/>
      </c>
      <c r="R28" s="74" t="str">
        <f>IF(Table_PrescriptLights_Input[[#This Row],[HVAC Measure]]="", "",Table_PrescriptLights_Input[[#This Row],[Total Equipment Cost]]+Table_PrescriptLights_Input[[#This Row],[Total Labor Cost]])</f>
        <v/>
      </c>
      <c r="S28" s="74" t="str">
        <f>IFERROR(Table_PrescriptLights_Input[[#This Row],[Gross Measure Cost]]-Table_PrescriptLights_Input[[#This Row],[Estimated Incentive]], "")</f>
        <v/>
      </c>
      <c r="T28" s="75" t="str">
        <f t="shared" si="0"/>
        <v/>
      </c>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row>
    <row r="29" spans="1:48" x14ac:dyDescent="0.2">
      <c r="A29" s="3"/>
      <c r="B29" s="71">
        <v>25</v>
      </c>
      <c r="C29" s="69" t="str">
        <f>IFERROR(INDEX(Table_Prescript_Meas[Measure Number], MATCH(E29, Table_Prescript_Meas[Measure Description], 0)), "")</f>
        <v/>
      </c>
      <c r="D29" s="61"/>
      <c r="E29" s="60"/>
      <c r="F29" s="69" t="str">
        <f>IFERROR(INDEX(Table_Prescript_Meas[Units], MATCH(Table_PrescriptLights_Input[[#This Row],[Measure Number]], Table_Prescript_Meas[Measure Number], 0)), "")</f>
        <v/>
      </c>
      <c r="G29" s="72"/>
      <c r="H29" s="51"/>
      <c r="I29" s="51"/>
      <c r="J29" s="51"/>
      <c r="K29" s="73"/>
      <c r="L29" s="73"/>
      <c r="M29"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29" s="74" t="str">
        <f>IFERROR(Table_PrescriptLights_Input[[#This Row],[Per-Unit Incentive]]*Table_PrescriptLights_Input[[#This Row],[Number of Units]],"")</f>
        <v/>
      </c>
      <c r="O29" s="75" t="str">
        <f>IF(OR(Table_PrescriptLights_Input[[#This Row],[HVAC Measure]]=References!$G$4,Table_PrescriptLights_Input[[#This Row],[HVAC Measure]]=References!$G$5),'HVAC Calcs'!$H27,IFERROR(Table_PrescriptLights_Input[[#This Row],[Number of Units]]*INDEX(Table_Prescript_Meas[Deemed kWh Savings], MATCH(Table_PrescriptLights_Input[[#This Row],[Measure Number]], Table_Prescript_Meas[Measure Number], 0)),"" ))</f>
        <v/>
      </c>
      <c r="P29" s="81" t="str">
        <f>IF(OR(Table_PrescriptLights_Input[[#This Row],[HVAC Measure]]=References!$G$4,Table_PrescriptLights_Input[[#This Row],[HVAC Measure]]=References!$G$5),'HVAC Calcs'!$I27,IFERROR(Table_PrescriptLights_Input[[#This Row],[Number of Units]]*INDEX(Table_Prescript_Meas[Deemed kW Savings], MATCH(Table_PrescriptLights_Input[[#This Row],[Measure Number]], Table_Prescript_Meas[Measure Number], 0)),"" ))</f>
        <v/>
      </c>
      <c r="Q29" s="74" t="str">
        <f>IFERROR(Table_PrescriptLights_Input[[#This Row],[Energy Savings (kWh)]]*Input_AvgkWhRate, "")</f>
        <v/>
      </c>
      <c r="R29" s="74" t="str">
        <f>IF(Table_PrescriptLights_Input[[#This Row],[HVAC Measure]]="", "",Table_PrescriptLights_Input[[#This Row],[Total Equipment Cost]]+Table_PrescriptLights_Input[[#This Row],[Total Labor Cost]])</f>
        <v/>
      </c>
      <c r="S29" s="74" t="str">
        <f>IFERROR(Table_PrescriptLights_Input[[#This Row],[Gross Measure Cost]]-Table_PrescriptLights_Input[[#This Row],[Estimated Incentive]], "")</f>
        <v/>
      </c>
      <c r="T29" s="75" t="str">
        <f t="shared" si="0"/>
        <v/>
      </c>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row>
    <row r="30" spans="1:48" x14ac:dyDescent="0.2">
      <c r="A30" s="3"/>
      <c r="B30" s="71">
        <v>26</v>
      </c>
      <c r="C30" s="69" t="str">
        <f>IFERROR(INDEX(Table_Prescript_Meas[Measure Number], MATCH(E30, Table_Prescript_Meas[Measure Description], 0)), "")</f>
        <v/>
      </c>
      <c r="D30" s="61"/>
      <c r="E30" s="60"/>
      <c r="F30" s="69" t="str">
        <f>IFERROR(INDEX(Table_Prescript_Meas[Units], MATCH(Table_PrescriptLights_Input[[#This Row],[Measure Number]], Table_Prescript_Meas[Measure Number], 0)), "")</f>
        <v/>
      </c>
      <c r="G30" s="72"/>
      <c r="H30" s="51"/>
      <c r="I30" s="51"/>
      <c r="J30" s="51"/>
      <c r="K30" s="73"/>
      <c r="L30" s="73"/>
      <c r="M30"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30" s="74" t="str">
        <f>IFERROR(Table_PrescriptLights_Input[[#This Row],[Per-Unit Incentive]]*Table_PrescriptLights_Input[[#This Row],[Number of Units]],"")</f>
        <v/>
      </c>
      <c r="O30" s="75" t="str">
        <f>IF(OR(Table_PrescriptLights_Input[[#This Row],[HVAC Measure]]=References!$G$4,Table_PrescriptLights_Input[[#This Row],[HVAC Measure]]=References!$G$5),'HVAC Calcs'!$H28,IFERROR(Table_PrescriptLights_Input[[#This Row],[Number of Units]]*INDEX(Table_Prescript_Meas[Deemed kWh Savings], MATCH(Table_PrescriptLights_Input[[#This Row],[Measure Number]], Table_Prescript_Meas[Measure Number], 0)),"" ))</f>
        <v/>
      </c>
      <c r="P30" s="81" t="str">
        <f>IF(OR(Table_PrescriptLights_Input[[#This Row],[HVAC Measure]]=References!$G$4,Table_PrescriptLights_Input[[#This Row],[HVAC Measure]]=References!$G$5),'HVAC Calcs'!$I28,IFERROR(Table_PrescriptLights_Input[[#This Row],[Number of Units]]*INDEX(Table_Prescript_Meas[Deemed kW Savings], MATCH(Table_PrescriptLights_Input[[#This Row],[Measure Number]], Table_Prescript_Meas[Measure Number], 0)),"" ))</f>
        <v/>
      </c>
      <c r="Q30" s="74" t="str">
        <f>IFERROR(Table_PrescriptLights_Input[[#This Row],[Energy Savings (kWh)]]*Input_AvgkWhRate, "")</f>
        <v/>
      </c>
      <c r="R30" s="74" t="str">
        <f>IF(Table_PrescriptLights_Input[[#This Row],[HVAC Measure]]="", "",Table_PrescriptLights_Input[[#This Row],[Total Equipment Cost]]+Table_PrescriptLights_Input[[#This Row],[Total Labor Cost]])</f>
        <v/>
      </c>
      <c r="S30" s="74" t="str">
        <f>IFERROR(Table_PrescriptLights_Input[[#This Row],[Gross Measure Cost]]-Table_PrescriptLights_Input[[#This Row],[Estimated Incentive]], "")</f>
        <v/>
      </c>
      <c r="T30" s="75" t="str">
        <f t="shared" si="0"/>
        <v/>
      </c>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row>
    <row r="31" spans="1:48" x14ac:dyDescent="0.2">
      <c r="A31" s="4"/>
      <c r="B31" s="71">
        <v>27</v>
      </c>
      <c r="C31" s="69" t="str">
        <f>IFERROR(INDEX(Table_Prescript_Meas[Measure Number], MATCH(E31, Table_Prescript_Meas[Measure Description], 0)), "")</f>
        <v/>
      </c>
      <c r="D31" s="61"/>
      <c r="E31" s="60"/>
      <c r="F31" s="69" t="str">
        <f>IFERROR(INDEX(Table_Prescript_Meas[Units], MATCH(Table_PrescriptLights_Input[[#This Row],[Measure Number]], Table_Prescript_Meas[Measure Number], 0)), "")</f>
        <v/>
      </c>
      <c r="G31" s="72"/>
      <c r="H31" s="51"/>
      <c r="I31" s="51"/>
      <c r="J31" s="51"/>
      <c r="K31" s="73"/>
      <c r="L31" s="73"/>
      <c r="M31"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31" s="74" t="str">
        <f>IFERROR(Table_PrescriptLights_Input[[#This Row],[Per-Unit Incentive]]*Table_PrescriptLights_Input[[#This Row],[Number of Units]],"")</f>
        <v/>
      </c>
      <c r="O31" s="75" t="str">
        <f>IF(OR(Table_PrescriptLights_Input[[#This Row],[HVAC Measure]]=References!$G$4,Table_PrescriptLights_Input[[#This Row],[HVAC Measure]]=References!$G$5),'HVAC Calcs'!$H29,IFERROR(Table_PrescriptLights_Input[[#This Row],[Number of Units]]*INDEX(Table_Prescript_Meas[Deemed kWh Savings], MATCH(Table_PrescriptLights_Input[[#This Row],[Measure Number]], Table_Prescript_Meas[Measure Number], 0)),"" ))</f>
        <v/>
      </c>
      <c r="P31" s="81" t="str">
        <f>IF(OR(Table_PrescriptLights_Input[[#This Row],[HVAC Measure]]=References!$G$4,Table_PrescriptLights_Input[[#This Row],[HVAC Measure]]=References!$G$5),'HVAC Calcs'!$I29,IFERROR(Table_PrescriptLights_Input[[#This Row],[Number of Units]]*INDEX(Table_Prescript_Meas[Deemed kW Savings], MATCH(Table_PrescriptLights_Input[[#This Row],[Measure Number]], Table_Prescript_Meas[Measure Number], 0)),"" ))</f>
        <v/>
      </c>
      <c r="Q31" s="74" t="str">
        <f>IFERROR(Table_PrescriptLights_Input[[#This Row],[Energy Savings (kWh)]]*Input_AvgkWhRate, "")</f>
        <v/>
      </c>
      <c r="R31" s="74" t="str">
        <f>IF(Table_PrescriptLights_Input[[#This Row],[HVAC Measure]]="", "",Table_PrescriptLights_Input[[#This Row],[Total Equipment Cost]]+Table_PrescriptLights_Input[[#This Row],[Total Labor Cost]])</f>
        <v/>
      </c>
      <c r="S31" s="74" t="str">
        <f>IFERROR(Table_PrescriptLights_Input[[#This Row],[Gross Measure Cost]]-Table_PrescriptLights_Input[[#This Row],[Estimated Incentive]], "")</f>
        <v/>
      </c>
      <c r="T31" s="75" t="str">
        <f t="shared" si="0"/>
        <v/>
      </c>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x14ac:dyDescent="0.2">
      <c r="A32" s="4"/>
      <c r="B32" s="71">
        <v>28</v>
      </c>
      <c r="C32" s="69" t="str">
        <f>IFERROR(INDEX(Table_Prescript_Meas[Measure Number], MATCH(E32, Table_Prescript_Meas[Measure Description], 0)), "")</f>
        <v/>
      </c>
      <c r="D32" s="61"/>
      <c r="E32" s="60"/>
      <c r="F32" s="69" t="str">
        <f>IFERROR(INDEX(Table_Prescript_Meas[Units], MATCH(Table_PrescriptLights_Input[[#This Row],[Measure Number]], Table_Prescript_Meas[Measure Number], 0)), "")</f>
        <v/>
      </c>
      <c r="G32" s="72"/>
      <c r="H32" s="51"/>
      <c r="I32" s="51"/>
      <c r="J32" s="51"/>
      <c r="K32" s="73"/>
      <c r="L32" s="73"/>
      <c r="M32"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32" s="74" t="str">
        <f>IFERROR(Table_PrescriptLights_Input[[#This Row],[Per-Unit Incentive]]*Table_PrescriptLights_Input[[#This Row],[Number of Units]],"")</f>
        <v/>
      </c>
      <c r="O32" s="75" t="str">
        <f>IF(OR(Table_PrescriptLights_Input[[#This Row],[HVAC Measure]]=References!$G$4,Table_PrescriptLights_Input[[#This Row],[HVAC Measure]]=References!$G$5),'HVAC Calcs'!$H30,IFERROR(Table_PrescriptLights_Input[[#This Row],[Number of Units]]*INDEX(Table_Prescript_Meas[Deemed kWh Savings], MATCH(Table_PrescriptLights_Input[[#This Row],[Measure Number]], Table_Prescript_Meas[Measure Number], 0)),"" ))</f>
        <v/>
      </c>
      <c r="P32" s="81" t="str">
        <f>IF(OR(Table_PrescriptLights_Input[[#This Row],[HVAC Measure]]=References!$G$4,Table_PrescriptLights_Input[[#This Row],[HVAC Measure]]=References!$G$5),'HVAC Calcs'!$I30,IFERROR(Table_PrescriptLights_Input[[#This Row],[Number of Units]]*INDEX(Table_Prescript_Meas[Deemed kW Savings], MATCH(Table_PrescriptLights_Input[[#This Row],[Measure Number]], Table_Prescript_Meas[Measure Number], 0)),"" ))</f>
        <v/>
      </c>
      <c r="Q32" s="74" t="str">
        <f>IFERROR(Table_PrescriptLights_Input[[#This Row],[Energy Savings (kWh)]]*Input_AvgkWhRate, "")</f>
        <v/>
      </c>
      <c r="R32" s="74" t="str">
        <f>IF(Table_PrescriptLights_Input[[#This Row],[HVAC Measure]]="", "",Table_PrescriptLights_Input[[#This Row],[Total Equipment Cost]]+Table_PrescriptLights_Input[[#This Row],[Total Labor Cost]])</f>
        <v/>
      </c>
      <c r="S32" s="74" t="str">
        <f>IFERROR(Table_PrescriptLights_Input[[#This Row],[Gross Measure Cost]]-Table_PrescriptLights_Input[[#This Row],[Estimated Incentive]], "")</f>
        <v/>
      </c>
      <c r="T32" s="75" t="str">
        <f t="shared" si="0"/>
        <v/>
      </c>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x14ac:dyDescent="0.2">
      <c r="A33" s="4"/>
      <c r="B33" s="71">
        <v>29</v>
      </c>
      <c r="C33" s="69" t="str">
        <f>IFERROR(INDEX(Table_Prescript_Meas[Measure Number], MATCH(E33, Table_Prescript_Meas[Measure Description], 0)), "")</f>
        <v/>
      </c>
      <c r="D33" s="61"/>
      <c r="E33" s="60"/>
      <c r="F33" s="69" t="str">
        <f>IFERROR(INDEX(Table_Prescript_Meas[Units], MATCH(Table_PrescriptLights_Input[[#This Row],[Measure Number]], Table_Prescript_Meas[Measure Number], 0)), "")</f>
        <v/>
      </c>
      <c r="G33" s="72"/>
      <c r="H33" s="51"/>
      <c r="I33" s="51"/>
      <c r="J33" s="51"/>
      <c r="K33" s="73"/>
      <c r="L33" s="73"/>
      <c r="M33"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33" s="74" t="str">
        <f>IFERROR(Table_PrescriptLights_Input[[#This Row],[Per-Unit Incentive]]*Table_PrescriptLights_Input[[#This Row],[Number of Units]],"")</f>
        <v/>
      </c>
      <c r="O33" s="75" t="str">
        <f>IF(OR(Table_PrescriptLights_Input[[#This Row],[HVAC Measure]]=References!$G$4,Table_PrescriptLights_Input[[#This Row],[HVAC Measure]]=References!$G$5),'HVAC Calcs'!$H31,IFERROR(Table_PrescriptLights_Input[[#This Row],[Number of Units]]*INDEX(Table_Prescript_Meas[Deemed kWh Savings], MATCH(Table_PrescriptLights_Input[[#This Row],[Measure Number]], Table_Prescript_Meas[Measure Number], 0)),"" ))</f>
        <v/>
      </c>
      <c r="P33" s="81" t="str">
        <f>IF(OR(Table_PrescriptLights_Input[[#This Row],[HVAC Measure]]=References!$G$4,Table_PrescriptLights_Input[[#This Row],[HVAC Measure]]=References!$G$5),'HVAC Calcs'!$I31,IFERROR(Table_PrescriptLights_Input[[#This Row],[Number of Units]]*INDEX(Table_Prescript_Meas[Deemed kW Savings], MATCH(Table_PrescriptLights_Input[[#This Row],[Measure Number]], Table_Prescript_Meas[Measure Number], 0)),"" ))</f>
        <v/>
      </c>
      <c r="Q33" s="74" t="str">
        <f>IFERROR(Table_PrescriptLights_Input[[#This Row],[Energy Savings (kWh)]]*Input_AvgkWhRate, "")</f>
        <v/>
      </c>
      <c r="R33" s="74" t="str">
        <f>IF(Table_PrescriptLights_Input[[#This Row],[HVAC Measure]]="", "",Table_PrescriptLights_Input[[#This Row],[Total Equipment Cost]]+Table_PrescriptLights_Input[[#This Row],[Total Labor Cost]])</f>
        <v/>
      </c>
      <c r="S33" s="74" t="str">
        <f>IFERROR(Table_PrescriptLights_Input[[#This Row],[Gross Measure Cost]]-Table_PrescriptLights_Input[[#This Row],[Estimated Incentive]], "")</f>
        <v/>
      </c>
      <c r="T33" s="75" t="str">
        <f t="shared" si="0"/>
        <v/>
      </c>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x14ac:dyDescent="0.2">
      <c r="A34" s="4"/>
      <c r="B34" s="71">
        <v>30</v>
      </c>
      <c r="C34" s="69" t="str">
        <f>IFERROR(INDEX(Table_Prescript_Meas[Measure Number], MATCH(E34, Table_Prescript_Meas[Measure Description], 0)), "")</f>
        <v/>
      </c>
      <c r="D34" s="61"/>
      <c r="E34" s="60"/>
      <c r="F34" s="69" t="str">
        <f>IFERROR(INDEX(Table_Prescript_Meas[Units], MATCH(Table_PrescriptLights_Input[[#This Row],[Measure Number]], Table_Prescript_Meas[Measure Number], 0)), "")</f>
        <v/>
      </c>
      <c r="G34" s="72"/>
      <c r="H34" s="51"/>
      <c r="I34" s="51"/>
      <c r="J34" s="51"/>
      <c r="K34" s="73"/>
      <c r="L34" s="73"/>
      <c r="M34"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34" s="74" t="str">
        <f>IFERROR(Table_PrescriptLights_Input[[#This Row],[Per-Unit Incentive]]*Table_PrescriptLights_Input[[#This Row],[Number of Units]],"")</f>
        <v/>
      </c>
      <c r="O34" s="75" t="str">
        <f>IF(OR(Table_PrescriptLights_Input[[#This Row],[HVAC Measure]]=References!$G$4,Table_PrescriptLights_Input[[#This Row],[HVAC Measure]]=References!$G$5),'HVAC Calcs'!$H32,IFERROR(Table_PrescriptLights_Input[[#This Row],[Number of Units]]*INDEX(Table_Prescript_Meas[Deemed kWh Savings], MATCH(Table_PrescriptLights_Input[[#This Row],[Measure Number]], Table_Prescript_Meas[Measure Number], 0)),"" ))</f>
        <v/>
      </c>
      <c r="P34" s="81" t="str">
        <f>IF(OR(Table_PrescriptLights_Input[[#This Row],[HVAC Measure]]=References!$G$4,Table_PrescriptLights_Input[[#This Row],[HVAC Measure]]=References!$G$5),'HVAC Calcs'!$I32,IFERROR(Table_PrescriptLights_Input[[#This Row],[Number of Units]]*INDEX(Table_Prescript_Meas[Deemed kW Savings], MATCH(Table_PrescriptLights_Input[[#This Row],[Measure Number]], Table_Prescript_Meas[Measure Number], 0)),"" ))</f>
        <v/>
      </c>
      <c r="Q34" s="74" t="str">
        <f>IFERROR(Table_PrescriptLights_Input[[#This Row],[Energy Savings (kWh)]]*Input_AvgkWhRate, "")</f>
        <v/>
      </c>
      <c r="R34" s="74" t="str">
        <f>IF(Table_PrescriptLights_Input[[#This Row],[HVAC Measure]]="", "",Table_PrescriptLights_Input[[#This Row],[Total Equipment Cost]]+Table_PrescriptLights_Input[[#This Row],[Total Labor Cost]])</f>
        <v/>
      </c>
      <c r="S34" s="74" t="str">
        <f>IFERROR(Table_PrescriptLights_Input[[#This Row],[Gross Measure Cost]]-Table_PrescriptLights_Input[[#This Row],[Estimated Incentive]], "")</f>
        <v/>
      </c>
      <c r="T34" s="75" t="str">
        <f t="shared" si="0"/>
        <v/>
      </c>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48" x14ac:dyDescent="0.2">
      <c r="A35" s="4"/>
      <c r="B35" s="71">
        <v>31</v>
      </c>
      <c r="C35" s="69" t="str">
        <f>IFERROR(INDEX(Table_Prescript_Meas[Measure Number], MATCH(E35, Table_Prescript_Meas[Measure Description], 0)), "")</f>
        <v/>
      </c>
      <c r="D35" s="61"/>
      <c r="E35" s="60"/>
      <c r="F35" s="69" t="str">
        <f>IFERROR(INDEX(Table_Prescript_Meas[Units], MATCH(Table_PrescriptLights_Input[[#This Row],[Measure Number]], Table_Prescript_Meas[Measure Number], 0)), "")</f>
        <v/>
      </c>
      <c r="G35" s="72"/>
      <c r="H35" s="51"/>
      <c r="I35" s="51"/>
      <c r="J35" s="51"/>
      <c r="K35" s="73"/>
      <c r="L35" s="73"/>
      <c r="M35"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35" s="74" t="str">
        <f>IFERROR(Table_PrescriptLights_Input[[#This Row],[Per-Unit Incentive]]*Table_PrescriptLights_Input[[#This Row],[Number of Units]],"")</f>
        <v/>
      </c>
      <c r="O35" s="75" t="str">
        <f>IF(OR(Table_PrescriptLights_Input[[#This Row],[HVAC Measure]]=References!$G$4,Table_PrescriptLights_Input[[#This Row],[HVAC Measure]]=References!$G$5),'HVAC Calcs'!$H33,IFERROR(Table_PrescriptLights_Input[[#This Row],[Number of Units]]*INDEX(Table_Prescript_Meas[Deemed kWh Savings], MATCH(Table_PrescriptLights_Input[[#This Row],[Measure Number]], Table_Prescript_Meas[Measure Number], 0)),"" ))</f>
        <v/>
      </c>
      <c r="P35" s="81" t="str">
        <f>IF(OR(Table_PrescriptLights_Input[[#This Row],[HVAC Measure]]=References!$G$4,Table_PrescriptLights_Input[[#This Row],[HVAC Measure]]=References!$G$5),'HVAC Calcs'!$I33,IFERROR(Table_PrescriptLights_Input[[#This Row],[Number of Units]]*INDEX(Table_Prescript_Meas[Deemed kW Savings], MATCH(Table_PrescriptLights_Input[[#This Row],[Measure Number]], Table_Prescript_Meas[Measure Number], 0)),"" ))</f>
        <v/>
      </c>
      <c r="Q35" s="74" t="str">
        <f>IFERROR(Table_PrescriptLights_Input[[#This Row],[Energy Savings (kWh)]]*Input_AvgkWhRate, "")</f>
        <v/>
      </c>
      <c r="R35" s="74" t="str">
        <f>IF(Table_PrescriptLights_Input[[#This Row],[HVAC Measure]]="", "",Table_PrescriptLights_Input[[#This Row],[Total Equipment Cost]]+Table_PrescriptLights_Input[[#This Row],[Total Labor Cost]])</f>
        <v/>
      </c>
      <c r="S35" s="74" t="str">
        <f>IFERROR(Table_PrescriptLights_Input[[#This Row],[Gross Measure Cost]]-Table_PrescriptLights_Input[[#This Row],[Estimated Incentive]], "")</f>
        <v/>
      </c>
      <c r="T35" s="75" t="str">
        <f t="shared" si="0"/>
        <v/>
      </c>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48" x14ac:dyDescent="0.2">
      <c r="A36" s="4"/>
      <c r="B36" s="71">
        <v>32</v>
      </c>
      <c r="C36" s="69" t="str">
        <f>IFERROR(INDEX(Table_Prescript_Meas[Measure Number], MATCH(E36, Table_Prescript_Meas[Measure Description], 0)), "")</f>
        <v/>
      </c>
      <c r="D36" s="61"/>
      <c r="E36" s="60"/>
      <c r="F36" s="69" t="str">
        <f>IFERROR(INDEX(Table_Prescript_Meas[Units], MATCH(Table_PrescriptLights_Input[[#This Row],[Measure Number]], Table_Prescript_Meas[Measure Number], 0)), "")</f>
        <v/>
      </c>
      <c r="G36" s="72"/>
      <c r="H36" s="51"/>
      <c r="I36" s="51"/>
      <c r="J36" s="51"/>
      <c r="K36" s="73"/>
      <c r="L36" s="73"/>
      <c r="M36"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36" s="74" t="str">
        <f>IFERROR(Table_PrescriptLights_Input[[#This Row],[Per-Unit Incentive]]*Table_PrescriptLights_Input[[#This Row],[Number of Units]],"")</f>
        <v/>
      </c>
      <c r="O36" s="75" t="str">
        <f>IF(OR(Table_PrescriptLights_Input[[#This Row],[HVAC Measure]]=References!$G$4,Table_PrescriptLights_Input[[#This Row],[HVAC Measure]]=References!$G$5),'HVAC Calcs'!$H34,IFERROR(Table_PrescriptLights_Input[[#This Row],[Number of Units]]*INDEX(Table_Prescript_Meas[Deemed kWh Savings], MATCH(Table_PrescriptLights_Input[[#This Row],[Measure Number]], Table_Prescript_Meas[Measure Number], 0)),"" ))</f>
        <v/>
      </c>
      <c r="P36" s="81" t="str">
        <f>IF(OR(Table_PrescriptLights_Input[[#This Row],[HVAC Measure]]=References!$G$4,Table_PrescriptLights_Input[[#This Row],[HVAC Measure]]=References!$G$5),'HVAC Calcs'!$I34,IFERROR(Table_PrescriptLights_Input[[#This Row],[Number of Units]]*INDEX(Table_Prescript_Meas[Deemed kW Savings], MATCH(Table_PrescriptLights_Input[[#This Row],[Measure Number]], Table_Prescript_Meas[Measure Number], 0)),"" ))</f>
        <v/>
      </c>
      <c r="Q36" s="74" t="str">
        <f>IFERROR(Table_PrescriptLights_Input[[#This Row],[Energy Savings (kWh)]]*Input_AvgkWhRate, "")</f>
        <v/>
      </c>
      <c r="R36" s="74" t="str">
        <f>IF(Table_PrescriptLights_Input[[#This Row],[HVAC Measure]]="", "",Table_PrescriptLights_Input[[#This Row],[Total Equipment Cost]]+Table_PrescriptLights_Input[[#This Row],[Total Labor Cost]])</f>
        <v/>
      </c>
      <c r="S36" s="74" t="str">
        <f>IFERROR(Table_PrescriptLights_Input[[#This Row],[Gross Measure Cost]]-Table_PrescriptLights_Input[[#This Row],[Estimated Incentive]], "")</f>
        <v/>
      </c>
      <c r="T36" s="75" t="str">
        <f t="shared" si="0"/>
        <v/>
      </c>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48" x14ac:dyDescent="0.2">
      <c r="A37" s="4"/>
      <c r="B37" s="71">
        <v>33</v>
      </c>
      <c r="C37" s="69" t="str">
        <f>IFERROR(INDEX(Table_Prescript_Meas[Measure Number], MATCH(E37, Table_Prescript_Meas[Measure Description], 0)), "")</f>
        <v/>
      </c>
      <c r="D37" s="61"/>
      <c r="E37" s="60"/>
      <c r="F37" s="69" t="str">
        <f>IFERROR(INDEX(Table_Prescript_Meas[Units], MATCH(Table_PrescriptLights_Input[[#This Row],[Measure Number]], Table_Prescript_Meas[Measure Number], 0)), "")</f>
        <v/>
      </c>
      <c r="G37" s="72"/>
      <c r="H37" s="51"/>
      <c r="I37" s="51"/>
      <c r="J37" s="51"/>
      <c r="K37" s="73"/>
      <c r="L37" s="73"/>
      <c r="M37"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37" s="74" t="str">
        <f>IFERROR(Table_PrescriptLights_Input[[#This Row],[Per-Unit Incentive]]*Table_PrescriptLights_Input[[#This Row],[Number of Units]],"")</f>
        <v/>
      </c>
      <c r="O37" s="75" t="str">
        <f>IF(OR(Table_PrescriptLights_Input[[#This Row],[HVAC Measure]]=References!$G$4,Table_PrescriptLights_Input[[#This Row],[HVAC Measure]]=References!$G$5),'HVAC Calcs'!$H35,IFERROR(Table_PrescriptLights_Input[[#This Row],[Number of Units]]*INDEX(Table_Prescript_Meas[Deemed kWh Savings], MATCH(Table_PrescriptLights_Input[[#This Row],[Measure Number]], Table_Prescript_Meas[Measure Number], 0)),"" ))</f>
        <v/>
      </c>
      <c r="P37" s="81" t="str">
        <f>IF(OR(Table_PrescriptLights_Input[[#This Row],[HVAC Measure]]=References!$G$4,Table_PrescriptLights_Input[[#This Row],[HVAC Measure]]=References!$G$5),'HVAC Calcs'!$I35,IFERROR(Table_PrescriptLights_Input[[#This Row],[Number of Units]]*INDEX(Table_Prescript_Meas[Deemed kW Savings], MATCH(Table_PrescriptLights_Input[[#This Row],[Measure Number]], Table_Prescript_Meas[Measure Number], 0)),"" ))</f>
        <v/>
      </c>
      <c r="Q37" s="74" t="str">
        <f>IFERROR(Table_PrescriptLights_Input[[#This Row],[Energy Savings (kWh)]]*Input_AvgkWhRate, "")</f>
        <v/>
      </c>
      <c r="R37" s="74" t="str">
        <f>IF(Table_PrescriptLights_Input[[#This Row],[HVAC Measure]]="", "",Table_PrescriptLights_Input[[#This Row],[Total Equipment Cost]]+Table_PrescriptLights_Input[[#This Row],[Total Labor Cost]])</f>
        <v/>
      </c>
      <c r="S37" s="74" t="str">
        <f>IFERROR(Table_PrescriptLights_Input[[#This Row],[Gross Measure Cost]]-Table_PrescriptLights_Input[[#This Row],[Estimated Incentive]], "")</f>
        <v/>
      </c>
      <c r="T37" s="75" t="str">
        <f t="shared" si="0"/>
        <v/>
      </c>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x14ac:dyDescent="0.2">
      <c r="A38" s="4"/>
      <c r="B38" s="71">
        <v>34</v>
      </c>
      <c r="C38" s="69" t="str">
        <f>IFERROR(INDEX(Table_Prescript_Meas[Measure Number], MATCH(E38, Table_Prescript_Meas[Measure Description], 0)), "")</f>
        <v/>
      </c>
      <c r="D38" s="61"/>
      <c r="E38" s="60"/>
      <c r="F38" s="69" t="str">
        <f>IFERROR(INDEX(Table_Prescript_Meas[Units], MATCH(Table_PrescriptLights_Input[[#This Row],[Measure Number]], Table_Prescript_Meas[Measure Number], 0)), "")</f>
        <v/>
      </c>
      <c r="G38" s="72"/>
      <c r="H38" s="51"/>
      <c r="I38" s="51"/>
      <c r="J38" s="51"/>
      <c r="K38" s="73"/>
      <c r="L38" s="73"/>
      <c r="M38"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38" s="74" t="str">
        <f>IFERROR(Table_PrescriptLights_Input[[#This Row],[Per-Unit Incentive]]*Table_PrescriptLights_Input[[#This Row],[Number of Units]],"")</f>
        <v/>
      </c>
      <c r="O38" s="75" t="str">
        <f>IF(OR(Table_PrescriptLights_Input[[#This Row],[HVAC Measure]]=References!$G$4,Table_PrescriptLights_Input[[#This Row],[HVAC Measure]]=References!$G$5),'HVAC Calcs'!$H36,IFERROR(Table_PrescriptLights_Input[[#This Row],[Number of Units]]*INDEX(Table_Prescript_Meas[Deemed kWh Savings], MATCH(Table_PrescriptLights_Input[[#This Row],[Measure Number]], Table_Prescript_Meas[Measure Number], 0)),"" ))</f>
        <v/>
      </c>
      <c r="P38" s="81" t="str">
        <f>IF(OR(Table_PrescriptLights_Input[[#This Row],[HVAC Measure]]=References!$G$4,Table_PrescriptLights_Input[[#This Row],[HVAC Measure]]=References!$G$5),'HVAC Calcs'!$I36,IFERROR(Table_PrescriptLights_Input[[#This Row],[Number of Units]]*INDEX(Table_Prescript_Meas[Deemed kW Savings], MATCH(Table_PrescriptLights_Input[[#This Row],[Measure Number]], Table_Prescript_Meas[Measure Number], 0)),"" ))</f>
        <v/>
      </c>
      <c r="Q38" s="74" t="str">
        <f>IFERROR(Table_PrescriptLights_Input[[#This Row],[Energy Savings (kWh)]]*Input_AvgkWhRate, "")</f>
        <v/>
      </c>
      <c r="R38" s="74" t="str">
        <f>IF(Table_PrescriptLights_Input[[#This Row],[HVAC Measure]]="", "",Table_PrescriptLights_Input[[#This Row],[Total Equipment Cost]]+Table_PrescriptLights_Input[[#This Row],[Total Labor Cost]])</f>
        <v/>
      </c>
      <c r="S38" s="74" t="str">
        <f>IFERROR(Table_PrescriptLights_Input[[#This Row],[Gross Measure Cost]]-Table_PrescriptLights_Input[[#This Row],[Estimated Incentive]], "")</f>
        <v/>
      </c>
      <c r="T38" s="75" t="str">
        <f t="shared" si="0"/>
        <v/>
      </c>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48" x14ac:dyDescent="0.2">
      <c r="A39" s="4"/>
      <c r="B39" s="71">
        <v>35</v>
      </c>
      <c r="C39" s="69" t="str">
        <f>IFERROR(INDEX(Table_Prescript_Meas[Measure Number], MATCH(E39, Table_Prescript_Meas[Measure Description], 0)), "")</f>
        <v/>
      </c>
      <c r="D39" s="61"/>
      <c r="E39" s="60"/>
      <c r="F39" s="69" t="str">
        <f>IFERROR(INDEX(Table_Prescript_Meas[Units], MATCH(Table_PrescriptLights_Input[[#This Row],[Measure Number]], Table_Prescript_Meas[Measure Number], 0)), "")</f>
        <v/>
      </c>
      <c r="G39" s="72"/>
      <c r="H39" s="51"/>
      <c r="I39" s="51"/>
      <c r="J39" s="51"/>
      <c r="K39" s="73"/>
      <c r="L39" s="73"/>
      <c r="M39"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39" s="74" t="str">
        <f>IFERROR(Table_PrescriptLights_Input[[#This Row],[Per-Unit Incentive]]*Table_PrescriptLights_Input[[#This Row],[Number of Units]],"")</f>
        <v/>
      </c>
      <c r="O39" s="75" t="str">
        <f>IF(OR(Table_PrescriptLights_Input[[#This Row],[HVAC Measure]]=References!$G$4,Table_PrescriptLights_Input[[#This Row],[HVAC Measure]]=References!$G$5),'HVAC Calcs'!$H37,IFERROR(Table_PrescriptLights_Input[[#This Row],[Number of Units]]*INDEX(Table_Prescript_Meas[Deemed kWh Savings], MATCH(Table_PrescriptLights_Input[[#This Row],[Measure Number]], Table_Prescript_Meas[Measure Number], 0)),"" ))</f>
        <v/>
      </c>
      <c r="P39" s="81" t="str">
        <f>IF(OR(Table_PrescriptLights_Input[[#This Row],[HVAC Measure]]=References!$G$4,Table_PrescriptLights_Input[[#This Row],[HVAC Measure]]=References!$G$5),'HVAC Calcs'!$I37,IFERROR(Table_PrescriptLights_Input[[#This Row],[Number of Units]]*INDEX(Table_Prescript_Meas[Deemed kW Savings], MATCH(Table_PrescriptLights_Input[[#This Row],[Measure Number]], Table_Prescript_Meas[Measure Number], 0)),"" ))</f>
        <v/>
      </c>
      <c r="Q39" s="74" t="str">
        <f>IFERROR(Table_PrescriptLights_Input[[#This Row],[Energy Savings (kWh)]]*Input_AvgkWhRate, "")</f>
        <v/>
      </c>
      <c r="R39" s="74" t="str">
        <f>IF(Table_PrescriptLights_Input[[#This Row],[HVAC Measure]]="", "",Table_PrescriptLights_Input[[#This Row],[Total Equipment Cost]]+Table_PrescriptLights_Input[[#This Row],[Total Labor Cost]])</f>
        <v/>
      </c>
      <c r="S39" s="74" t="str">
        <f>IFERROR(Table_PrescriptLights_Input[[#This Row],[Gross Measure Cost]]-Table_PrescriptLights_Input[[#This Row],[Estimated Incentive]], "")</f>
        <v/>
      </c>
      <c r="T39" s="75" t="str">
        <f t="shared" si="0"/>
        <v/>
      </c>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48" x14ac:dyDescent="0.2">
      <c r="A40" s="4"/>
      <c r="B40" s="71">
        <v>36</v>
      </c>
      <c r="C40" s="69" t="str">
        <f>IFERROR(INDEX(Table_Prescript_Meas[Measure Number], MATCH(E40, Table_Prescript_Meas[Measure Description], 0)), "")</f>
        <v/>
      </c>
      <c r="D40" s="61"/>
      <c r="E40" s="60"/>
      <c r="F40" s="69" t="str">
        <f>IFERROR(INDEX(Table_Prescript_Meas[Units], MATCH(Table_PrescriptLights_Input[[#This Row],[Measure Number]], Table_Prescript_Meas[Measure Number], 0)), "")</f>
        <v/>
      </c>
      <c r="G40" s="72"/>
      <c r="H40" s="51"/>
      <c r="I40" s="51"/>
      <c r="J40" s="51"/>
      <c r="K40" s="73"/>
      <c r="L40" s="73"/>
      <c r="M40"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40" s="74" t="str">
        <f>IFERROR(Table_PrescriptLights_Input[[#This Row],[Per-Unit Incentive]]*Table_PrescriptLights_Input[[#This Row],[Number of Units]],"")</f>
        <v/>
      </c>
      <c r="O40" s="75" t="str">
        <f>IF(OR(Table_PrescriptLights_Input[[#This Row],[HVAC Measure]]=References!$G$4,Table_PrescriptLights_Input[[#This Row],[HVAC Measure]]=References!$G$5),'HVAC Calcs'!$H38,IFERROR(Table_PrescriptLights_Input[[#This Row],[Number of Units]]*INDEX(Table_Prescript_Meas[Deemed kWh Savings], MATCH(Table_PrescriptLights_Input[[#This Row],[Measure Number]], Table_Prescript_Meas[Measure Number], 0)),"" ))</f>
        <v/>
      </c>
      <c r="P40" s="81" t="str">
        <f>IF(OR(Table_PrescriptLights_Input[[#This Row],[HVAC Measure]]=References!$G$4,Table_PrescriptLights_Input[[#This Row],[HVAC Measure]]=References!$G$5),'HVAC Calcs'!$I38,IFERROR(Table_PrescriptLights_Input[[#This Row],[Number of Units]]*INDEX(Table_Prescript_Meas[Deemed kW Savings], MATCH(Table_PrescriptLights_Input[[#This Row],[Measure Number]], Table_Prescript_Meas[Measure Number], 0)),"" ))</f>
        <v/>
      </c>
      <c r="Q40" s="74" t="str">
        <f>IFERROR(Table_PrescriptLights_Input[[#This Row],[Energy Savings (kWh)]]*Input_AvgkWhRate, "")</f>
        <v/>
      </c>
      <c r="R40" s="74" t="str">
        <f>IF(Table_PrescriptLights_Input[[#This Row],[HVAC Measure]]="", "",Table_PrescriptLights_Input[[#This Row],[Total Equipment Cost]]+Table_PrescriptLights_Input[[#This Row],[Total Labor Cost]])</f>
        <v/>
      </c>
      <c r="S40" s="74" t="str">
        <f>IFERROR(Table_PrescriptLights_Input[[#This Row],[Gross Measure Cost]]-Table_PrescriptLights_Input[[#This Row],[Estimated Incentive]], "")</f>
        <v/>
      </c>
      <c r="T40" s="75" t="str">
        <f t="shared" si="0"/>
        <v/>
      </c>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row>
    <row r="41" spans="1:48" x14ac:dyDescent="0.2">
      <c r="A41" s="4"/>
      <c r="B41" s="71">
        <v>37</v>
      </c>
      <c r="C41" s="69" t="str">
        <f>IFERROR(INDEX(Table_Prescript_Meas[Measure Number], MATCH(E41, Table_Prescript_Meas[Measure Description], 0)), "")</f>
        <v/>
      </c>
      <c r="D41" s="61"/>
      <c r="E41" s="60"/>
      <c r="F41" s="69" t="str">
        <f>IFERROR(INDEX(Table_Prescript_Meas[Units], MATCH(Table_PrescriptLights_Input[[#This Row],[Measure Number]], Table_Prescript_Meas[Measure Number], 0)), "")</f>
        <v/>
      </c>
      <c r="G41" s="72"/>
      <c r="H41" s="51"/>
      <c r="I41" s="51"/>
      <c r="J41" s="51"/>
      <c r="K41" s="73"/>
      <c r="L41" s="73"/>
      <c r="M41"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41" s="74" t="str">
        <f>IFERROR(Table_PrescriptLights_Input[[#This Row],[Per-Unit Incentive]]*Table_PrescriptLights_Input[[#This Row],[Number of Units]],"")</f>
        <v/>
      </c>
      <c r="O41" s="75" t="str">
        <f>IF(OR(Table_PrescriptLights_Input[[#This Row],[HVAC Measure]]=References!$G$4,Table_PrescriptLights_Input[[#This Row],[HVAC Measure]]=References!$G$5),'HVAC Calcs'!$H39,IFERROR(Table_PrescriptLights_Input[[#This Row],[Number of Units]]*INDEX(Table_Prescript_Meas[Deemed kWh Savings], MATCH(Table_PrescriptLights_Input[[#This Row],[Measure Number]], Table_Prescript_Meas[Measure Number], 0)),"" ))</f>
        <v/>
      </c>
      <c r="P41" s="81" t="str">
        <f>IF(OR(Table_PrescriptLights_Input[[#This Row],[HVAC Measure]]=References!$G$4,Table_PrescriptLights_Input[[#This Row],[HVAC Measure]]=References!$G$5),'HVAC Calcs'!$I39,IFERROR(Table_PrescriptLights_Input[[#This Row],[Number of Units]]*INDEX(Table_Prescript_Meas[Deemed kW Savings], MATCH(Table_PrescriptLights_Input[[#This Row],[Measure Number]], Table_Prescript_Meas[Measure Number], 0)),"" ))</f>
        <v/>
      </c>
      <c r="Q41" s="74" t="str">
        <f>IFERROR(Table_PrescriptLights_Input[[#This Row],[Energy Savings (kWh)]]*Input_AvgkWhRate, "")</f>
        <v/>
      </c>
      <c r="R41" s="74" t="str">
        <f>IF(Table_PrescriptLights_Input[[#This Row],[HVAC Measure]]="", "",Table_PrescriptLights_Input[[#This Row],[Total Equipment Cost]]+Table_PrescriptLights_Input[[#This Row],[Total Labor Cost]])</f>
        <v/>
      </c>
      <c r="S41" s="74" t="str">
        <f>IFERROR(Table_PrescriptLights_Input[[#This Row],[Gross Measure Cost]]-Table_PrescriptLights_Input[[#This Row],[Estimated Incentive]], "")</f>
        <v/>
      </c>
      <c r="T41" s="75" t="str">
        <f t="shared" si="0"/>
        <v/>
      </c>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row>
    <row r="42" spans="1:48" x14ac:dyDescent="0.2">
      <c r="A42" s="4"/>
      <c r="B42" s="71">
        <v>38</v>
      </c>
      <c r="C42" s="69" t="str">
        <f>IFERROR(INDEX(Table_Prescript_Meas[Measure Number], MATCH(E42, Table_Prescript_Meas[Measure Description], 0)), "")</f>
        <v/>
      </c>
      <c r="D42" s="61"/>
      <c r="E42" s="60"/>
      <c r="F42" s="69" t="str">
        <f>IFERROR(INDEX(Table_Prescript_Meas[Units], MATCH(Table_PrescriptLights_Input[[#This Row],[Measure Number]], Table_Prescript_Meas[Measure Number], 0)), "")</f>
        <v/>
      </c>
      <c r="G42" s="72"/>
      <c r="H42" s="51"/>
      <c r="I42" s="51"/>
      <c r="J42" s="51"/>
      <c r="K42" s="73"/>
      <c r="L42" s="73"/>
      <c r="M42"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42" s="74" t="str">
        <f>IFERROR(Table_PrescriptLights_Input[[#This Row],[Per-Unit Incentive]]*Table_PrescriptLights_Input[[#This Row],[Number of Units]],"")</f>
        <v/>
      </c>
      <c r="O42" s="75" t="str">
        <f>IF(OR(Table_PrescriptLights_Input[[#This Row],[HVAC Measure]]=References!$G$4,Table_PrescriptLights_Input[[#This Row],[HVAC Measure]]=References!$G$5),'HVAC Calcs'!$H40,IFERROR(Table_PrescriptLights_Input[[#This Row],[Number of Units]]*INDEX(Table_Prescript_Meas[Deemed kWh Savings], MATCH(Table_PrescriptLights_Input[[#This Row],[Measure Number]], Table_Prescript_Meas[Measure Number], 0)),"" ))</f>
        <v/>
      </c>
      <c r="P42" s="81" t="str">
        <f>IF(OR(Table_PrescriptLights_Input[[#This Row],[HVAC Measure]]=References!$G$4,Table_PrescriptLights_Input[[#This Row],[HVAC Measure]]=References!$G$5),'HVAC Calcs'!$I40,IFERROR(Table_PrescriptLights_Input[[#This Row],[Number of Units]]*INDEX(Table_Prescript_Meas[Deemed kW Savings], MATCH(Table_PrescriptLights_Input[[#This Row],[Measure Number]], Table_Prescript_Meas[Measure Number], 0)),"" ))</f>
        <v/>
      </c>
      <c r="Q42" s="74" t="str">
        <f>IFERROR(Table_PrescriptLights_Input[[#This Row],[Energy Savings (kWh)]]*Input_AvgkWhRate, "")</f>
        <v/>
      </c>
      <c r="R42" s="74" t="str">
        <f>IF(Table_PrescriptLights_Input[[#This Row],[HVAC Measure]]="", "",Table_PrescriptLights_Input[[#This Row],[Total Equipment Cost]]+Table_PrescriptLights_Input[[#This Row],[Total Labor Cost]])</f>
        <v/>
      </c>
      <c r="S42" s="74" t="str">
        <f>IFERROR(Table_PrescriptLights_Input[[#This Row],[Gross Measure Cost]]-Table_PrescriptLights_Input[[#This Row],[Estimated Incentive]], "")</f>
        <v/>
      </c>
      <c r="T42" s="75" t="str">
        <f t="shared" si="0"/>
        <v/>
      </c>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row>
    <row r="43" spans="1:48" x14ac:dyDescent="0.2">
      <c r="A43" s="4"/>
      <c r="B43" s="71">
        <v>39</v>
      </c>
      <c r="C43" s="69" t="str">
        <f>IFERROR(INDEX(Table_Prescript_Meas[Measure Number], MATCH(E43, Table_Prescript_Meas[Measure Description], 0)), "")</f>
        <v/>
      </c>
      <c r="D43" s="61"/>
      <c r="E43" s="60"/>
      <c r="F43" s="69" t="str">
        <f>IFERROR(INDEX(Table_Prescript_Meas[Units], MATCH(Table_PrescriptLights_Input[[#This Row],[Measure Number]], Table_Prescript_Meas[Measure Number], 0)), "")</f>
        <v/>
      </c>
      <c r="G43" s="72"/>
      <c r="H43" s="51"/>
      <c r="I43" s="51"/>
      <c r="J43" s="51"/>
      <c r="K43" s="73"/>
      <c r="L43" s="73"/>
      <c r="M43"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43" s="74" t="str">
        <f>IFERROR(Table_PrescriptLights_Input[[#This Row],[Per-Unit Incentive]]*Table_PrescriptLights_Input[[#This Row],[Number of Units]],"")</f>
        <v/>
      </c>
      <c r="O43" s="75" t="str">
        <f>IF(OR(Table_PrescriptLights_Input[[#This Row],[HVAC Measure]]=References!$G$4,Table_PrescriptLights_Input[[#This Row],[HVAC Measure]]=References!$G$5),'HVAC Calcs'!$H41,IFERROR(Table_PrescriptLights_Input[[#This Row],[Number of Units]]*INDEX(Table_Prescript_Meas[Deemed kWh Savings], MATCH(Table_PrescriptLights_Input[[#This Row],[Measure Number]], Table_Prescript_Meas[Measure Number], 0)),"" ))</f>
        <v/>
      </c>
      <c r="P43" s="81" t="str">
        <f>IF(OR(Table_PrescriptLights_Input[[#This Row],[HVAC Measure]]=References!$G$4,Table_PrescriptLights_Input[[#This Row],[HVAC Measure]]=References!$G$5),'HVAC Calcs'!$I41,IFERROR(Table_PrescriptLights_Input[[#This Row],[Number of Units]]*INDEX(Table_Prescript_Meas[Deemed kW Savings], MATCH(Table_PrescriptLights_Input[[#This Row],[Measure Number]], Table_Prescript_Meas[Measure Number], 0)),"" ))</f>
        <v/>
      </c>
      <c r="Q43" s="74" t="str">
        <f>IFERROR(Table_PrescriptLights_Input[[#This Row],[Energy Savings (kWh)]]*Input_AvgkWhRate, "")</f>
        <v/>
      </c>
      <c r="R43" s="74" t="str">
        <f>IF(Table_PrescriptLights_Input[[#This Row],[HVAC Measure]]="", "",Table_PrescriptLights_Input[[#This Row],[Total Equipment Cost]]+Table_PrescriptLights_Input[[#This Row],[Total Labor Cost]])</f>
        <v/>
      </c>
      <c r="S43" s="74" t="str">
        <f>IFERROR(Table_PrescriptLights_Input[[#This Row],[Gross Measure Cost]]-Table_PrescriptLights_Input[[#This Row],[Estimated Incentive]], "")</f>
        <v/>
      </c>
      <c r="T43" s="75" t="str">
        <f t="shared" si="0"/>
        <v/>
      </c>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row>
    <row r="44" spans="1:48" x14ac:dyDescent="0.2">
      <c r="A44" s="4"/>
      <c r="B44" s="71">
        <v>40</v>
      </c>
      <c r="C44" s="69" t="str">
        <f>IFERROR(INDEX(Table_Prescript_Meas[Measure Number], MATCH(E44, Table_Prescript_Meas[Measure Description], 0)), "")</f>
        <v/>
      </c>
      <c r="D44" s="61"/>
      <c r="E44" s="60"/>
      <c r="F44" s="69" t="str">
        <f>IFERROR(INDEX(Table_Prescript_Meas[Units], MATCH(Table_PrescriptLights_Input[[#This Row],[Measure Number]], Table_Prescript_Meas[Measure Number], 0)), "")</f>
        <v/>
      </c>
      <c r="G44" s="72"/>
      <c r="H44" s="51"/>
      <c r="I44" s="51"/>
      <c r="J44" s="51"/>
      <c r="K44" s="73"/>
      <c r="L44" s="73"/>
      <c r="M44"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44" s="74" t="str">
        <f>IFERROR(Table_PrescriptLights_Input[[#This Row],[Per-Unit Incentive]]*Table_PrescriptLights_Input[[#This Row],[Number of Units]],"")</f>
        <v/>
      </c>
      <c r="O44" s="75" t="str">
        <f>IF(OR(Table_PrescriptLights_Input[[#This Row],[HVAC Measure]]=References!$G$4,Table_PrescriptLights_Input[[#This Row],[HVAC Measure]]=References!$G$5),'HVAC Calcs'!$H42,IFERROR(Table_PrescriptLights_Input[[#This Row],[Number of Units]]*INDEX(Table_Prescript_Meas[Deemed kWh Savings], MATCH(Table_PrescriptLights_Input[[#This Row],[Measure Number]], Table_Prescript_Meas[Measure Number], 0)),"" ))</f>
        <v/>
      </c>
      <c r="P44" s="81" t="str">
        <f>IF(OR(Table_PrescriptLights_Input[[#This Row],[HVAC Measure]]=References!$G$4,Table_PrescriptLights_Input[[#This Row],[HVAC Measure]]=References!$G$5),'HVAC Calcs'!$I42,IFERROR(Table_PrescriptLights_Input[[#This Row],[Number of Units]]*INDEX(Table_Prescript_Meas[Deemed kW Savings], MATCH(Table_PrescriptLights_Input[[#This Row],[Measure Number]], Table_Prescript_Meas[Measure Number], 0)),"" ))</f>
        <v/>
      </c>
      <c r="Q44" s="74" t="str">
        <f>IFERROR(Table_PrescriptLights_Input[[#This Row],[Energy Savings (kWh)]]*Input_AvgkWhRate, "")</f>
        <v/>
      </c>
      <c r="R44" s="74" t="str">
        <f>IF(Table_PrescriptLights_Input[[#This Row],[HVAC Measure]]="", "",Table_PrescriptLights_Input[[#This Row],[Total Equipment Cost]]+Table_PrescriptLights_Input[[#This Row],[Total Labor Cost]])</f>
        <v/>
      </c>
      <c r="S44" s="74" t="str">
        <f>IFERROR(Table_PrescriptLights_Input[[#This Row],[Gross Measure Cost]]-Table_PrescriptLights_Input[[#This Row],[Estimated Incentive]], "")</f>
        <v/>
      </c>
      <c r="T44" s="75" t="str">
        <f t="shared" si="0"/>
        <v/>
      </c>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row>
    <row r="45" spans="1:48" x14ac:dyDescent="0.2">
      <c r="A45" s="4"/>
      <c r="B45" s="71">
        <v>41</v>
      </c>
      <c r="C45" s="69" t="str">
        <f>IFERROR(INDEX(Table_Prescript_Meas[Measure Number], MATCH(E45, Table_Prescript_Meas[Measure Description], 0)), "")</f>
        <v/>
      </c>
      <c r="D45" s="61"/>
      <c r="E45" s="60"/>
      <c r="F45" s="69" t="str">
        <f>IFERROR(INDEX(Table_Prescript_Meas[Units], MATCH(Table_PrescriptLights_Input[[#This Row],[Measure Number]], Table_Prescript_Meas[Measure Number], 0)), "")</f>
        <v/>
      </c>
      <c r="G45" s="72"/>
      <c r="H45" s="51"/>
      <c r="I45" s="51"/>
      <c r="J45" s="51"/>
      <c r="K45" s="73"/>
      <c r="L45" s="73"/>
      <c r="M45"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45" s="74" t="str">
        <f>IFERROR(Table_PrescriptLights_Input[[#This Row],[Per-Unit Incentive]]*Table_PrescriptLights_Input[[#This Row],[Number of Units]],"")</f>
        <v/>
      </c>
      <c r="O45" s="75" t="str">
        <f>IF(OR(Table_PrescriptLights_Input[[#This Row],[HVAC Measure]]=References!$G$4,Table_PrescriptLights_Input[[#This Row],[HVAC Measure]]=References!$G$5),'HVAC Calcs'!$H43,IFERROR(Table_PrescriptLights_Input[[#This Row],[Number of Units]]*INDEX(Table_Prescript_Meas[Deemed kWh Savings], MATCH(Table_PrescriptLights_Input[[#This Row],[Measure Number]], Table_Prescript_Meas[Measure Number], 0)),"" ))</f>
        <v/>
      </c>
      <c r="P45" s="81" t="str">
        <f>IF(OR(Table_PrescriptLights_Input[[#This Row],[HVAC Measure]]=References!$G$4,Table_PrescriptLights_Input[[#This Row],[HVAC Measure]]=References!$G$5),'HVAC Calcs'!$I43,IFERROR(Table_PrescriptLights_Input[[#This Row],[Number of Units]]*INDEX(Table_Prescript_Meas[Deemed kW Savings], MATCH(Table_PrescriptLights_Input[[#This Row],[Measure Number]], Table_Prescript_Meas[Measure Number], 0)),"" ))</f>
        <v/>
      </c>
      <c r="Q45" s="74" t="str">
        <f>IFERROR(Table_PrescriptLights_Input[[#This Row],[Energy Savings (kWh)]]*Input_AvgkWhRate, "")</f>
        <v/>
      </c>
      <c r="R45" s="74" t="str">
        <f>IF(Table_PrescriptLights_Input[[#This Row],[HVAC Measure]]="", "",Table_PrescriptLights_Input[[#This Row],[Total Equipment Cost]]+Table_PrescriptLights_Input[[#This Row],[Total Labor Cost]])</f>
        <v/>
      </c>
      <c r="S45" s="74" t="str">
        <f>IFERROR(Table_PrescriptLights_Input[[#This Row],[Gross Measure Cost]]-Table_PrescriptLights_Input[[#This Row],[Estimated Incentive]], "")</f>
        <v/>
      </c>
      <c r="T45" s="75" t="str">
        <f t="shared" si="0"/>
        <v/>
      </c>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row>
    <row r="46" spans="1:48" x14ac:dyDescent="0.2">
      <c r="A46" s="4"/>
      <c r="B46" s="71">
        <v>42</v>
      </c>
      <c r="C46" s="69" t="str">
        <f>IFERROR(INDEX(Table_Prescript_Meas[Measure Number], MATCH(E46, Table_Prescript_Meas[Measure Description], 0)), "")</f>
        <v/>
      </c>
      <c r="D46" s="61"/>
      <c r="E46" s="60"/>
      <c r="F46" s="69" t="str">
        <f>IFERROR(INDEX(Table_Prescript_Meas[Units], MATCH(Table_PrescriptLights_Input[[#This Row],[Measure Number]], Table_Prescript_Meas[Measure Number], 0)), "")</f>
        <v/>
      </c>
      <c r="G46" s="72"/>
      <c r="H46" s="51"/>
      <c r="I46" s="51"/>
      <c r="J46" s="51"/>
      <c r="K46" s="73"/>
      <c r="L46" s="73"/>
      <c r="M46"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46" s="74" t="str">
        <f>IFERROR(Table_PrescriptLights_Input[[#This Row],[Per-Unit Incentive]]*Table_PrescriptLights_Input[[#This Row],[Number of Units]],"")</f>
        <v/>
      </c>
      <c r="O46" s="75" t="str">
        <f>IF(OR(Table_PrescriptLights_Input[[#This Row],[HVAC Measure]]=References!$G$4,Table_PrescriptLights_Input[[#This Row],[HVAC Measure]]=References!$G$5),'HVAC Calcs'!$H44,IFERROR(Table_PrescriptLights_Input[[#This Row],[Number of Units]]*INDEX(Table_Prescript_Meas[Deemed kWh Savings], MATCH(Table_PrescriptLights_Input[[#This Row],[Measure Number]], Table_Prescript_Meas[Measure Number], 0)),"" ))</f>
        <v/>
      </c>
      <c r="P46" s="81" t="str">
        <f>IF(OR(Table_PrescriptLights_Input[[#This Row],[HVAC Measure]]=References!$G$4,Table_PrescriptLights_Input[[#This Row],[HVAC Measure]]=References!$G$5),'HVAC Calcs'!$I44,IFERROR(Table_PrescriptLights_Input[[#This Row],[Number of Units]]*INDEX(Table_Prescript_Meas[Deemed kW Savings], MATCH(Table_PrescriptLights_Input[[#This Row],[Measure Number]], Table_Prescript_Meas[Measure Number], 0)),"" ))</f>
        <v/>
      </c>
      <c r="Q46" s="74" t="str">
        <f>IFERROR(Table_PrescriptLights_Input[[#This Row],[Energy Savings (kWh)]]*Input_AvgkWhRate, "")</f>
        <v/>
      </c>
      <c r="R46" s="74" t="str">
        <f>IF(Table_PrescriptLights_Input[[#This Row],[HVAC Measure]]="", "",Table_PrescriptLights_Input[[#This Row],[Total Equipment Cost]]+Table_PrescriptLights_Input[[#This Row],[Total Labor Cost]])</f>
        <v/>
      </c>
      <c r="S46" s="74" t="str">
        <f>IFERROR(Table_PrescriptLights_Input[[#This Row],[Gross Measure Cost]]-Table_PrescriptLights_Input[[#This Row],[Estimated Incentive]], "")</f>
        <v/>
      </c>
      <c r="T46" s="75" t="str">
        <f t="shared" si="0"/>
        <v/>
      </c>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row>
    <row r="47" spans="1:48" x14ac:dyDescent="0.2">
      <c r="A47" s="4"/>
      <c r="B47" s="71">
        <v>43</v>
      </c>
      <c r="C47" s="69" t="str">
        <f>IFERROR(INDEX(Table_Prescript_Meas[Measure Number], MATCH(E47, Table_Prescript_Meas[Measure Description], 0)), "")</f>
        <v/>
      </c>
      <c r="D47" s="61"/>
      <c r="E47" s="60"/>
      <c r="F47" s="69" t="str">
        <f>IFERROR(INDEX(Table_Prescript_Meas[Units], MATCH(Table_PrescriptLights_Input[[#This Row],[Measure Number]], Table_Prescript_Meas[Measure Number], 0)), "")</f>
        <v/>
      </c>
      <c r="G47" s="72"/>
      <c r="H47" s="51"/>
      <c r="I47" s="51"/>
      <c r="J47" s="51"/>
      <c r="K47" s="73"/>
      <c r="L47" s="73"/>
      <c r="M47"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47" s="74" t="str">
        <f>IFERROR(Table_PrescriptLights_Input[[#This Row],[Per-Unit Incentive]]*Table_PrescriptLights_Input[[#This Row],[Number of Units]],"")</f>
        <v/>
      </c>
      <c r="O47" s="75" t="str">
        <f>IF(OR(Table_PrescriptLights_Input[[#This Row],[HVAC Measure]]=References!$G$4,Table_PrescriptLights_Input[[#This Row],[HVAC Measure]]=References!$G$5),'HVAC Calcs'!$H45,IFERROR(Table_PrescriptLights_Input[[#This Row],[Number of Units]]*INDEX(Table_Prescript_Meas[Deemed kWh Savings], MATCH(Table_PrescriptLights_Input[[#This Row],[Measure Number]], Table_Prescript_Meas[Measure Number], 0)),"" ))</f>
        <v/>
      </c>
      <c r="P47" s="81" t="str">
        <f>IF(OR(Table_PrescriptLights_Input[[#This Row],[HVAC Measure]]=References!$G$4,Table_PrescriptLights_Input[[#This Row],[HVAC Measure]]=References!$G$5),'HVAC Calcs'!$I45,IFERROR(Table_PrescriptLights_Input[[#This Row],[Number of Units]]*INDEX(Table_Prescript_Meas[Deemed kW Savings], MATCH(Table_PrescriptLights_Input[[#This Row],[Measure Number]], Table_Prescript_Meas[Measure Number], 0)),"" ))</f>
        <v/>
      </c>
      <c r="Q47" s="74" t="str">
        <f>IFERROR(Table_PrescriptLights_Input[[#This Row],[Energy Savings (kWh)]]*Input_AvgkWhRate, "")</f>
        <v/>
      </c>
      <c r="R47" s="74" t="str">
        <f>IF(Table_PrescriptLights_Input[[#This Row],[HVAC Measure]]="", "",Table_PrescriptLights_Input[[#This Row],[Total Equipment Cost]]+Table_PrescriptLights_Input[[#This Row],[Total Labor Cost]])</f>
        <v/>
      </c>
      <c r="S47" s="74" t="str">
        <f>IFERROR(Table_PrescriptLights_Input[[#This Row],[Gross Measure Cost]]-Table_PrescriptLights_Input[[#This Row],[Estimated Incentive]], "")</f>
        <v/>
      </c>
      <c r="T47" s="75" t="str">
        <f t="shared" si="0"/>
        <v/>
      </c>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row>
    <row r="48" spans="1:48" x14ac:dyDescent="0.2">
      <c r="A48" s="4"/>
      <c r="B48" s="71">
        <v>44</v>
      </c>
      <c r="C48" s="69" t="str">
        <f>IFERROR(INDEX(Table_Prescript_Meas[Measure Number], MATCH(E48, Table_Prescript_Meas[Measure Description], 0)), "")</f>
        <v/>
      </c>
      <c r="D48" s="61"/>
      <c r="E48" s="60"/>
      <c r="F48" s="69" t="str">
        <f>IFERROR(INDEX(Table_Prescript_Meas[Units], MATCH(Table_PrescriptLights_Input[[#This Row],[Measure Number]], Table_Prescript_Meas[Measure Number], 0)), "")</f>
        <v/>
      </c>
      <c r="G48" s="72"/>
      <c r="H48" s="51"/>
      <c r="I48" s="51"/>
      <c r="J48" s="51"/>
      <c r="K48" s="73"/>
      <c r="L48" s="73"/>
      <c r="M48"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48" s="74" t="str">
        <f>IFERROR(Table_PrescriptLights_Input[[#This Row],[Per-Unit Incentive]]*Table_PrescriptLights_Input[[#This Row],[Number of Units]],"")</f>
        <v/>
      </c>
      <c r="O48" s="75" t="str">
        <f>IF(OR(Table_PrescriptLights_Input[[#This Row],[HVAC Measure]]=References!$G$4,Table_PrescriptLights_Input[[#This Row],[HVAC Measure]]=References!$G$5),'HVAC Calcs'!$H46,IFERROR(Table_PrescriptLights_Input[[#This Row],[Number of Units]]*INDEX(Table_Prescript_Meas[Deemed kWh Savings], MATCH(Table_PrescriptLights_Input[[#This Row],[Measure Number]], Table_Prescript_Meas[Measure Number], 0)),"" ))</f>
        <v/>
      </c>
      <c r="P48" s="81" t="str">
        <f>IF(OR(Table_PrescriptLights_Input[[#This Row],[HVAC Measure]]=References!$G$4,Table_PrescriptLights_Input[[#This Row],[HVAC Measure]]=References!$G$5),'HVAC Calcs'!$I46,IFERROR(Table_PrescriptLights_Input[[#This Row],[Number of Units]]*INDEX(Table_Prescript_Meas[Deemed kW Savings], MATCH(Table_PrescriptLights_Input[[#This Row],[Measure Number]], Table_Prescript_Meas[Measure Number], 0)),"" ))</f>
        <v/>
      </c>
      <c r="Q48" s="74" t="str">
        <f>IFERROR(Table_PrescriptLights_Input[[#This Row],[Energy Savings (kWh)]]*Input_AvgkWhRate, "")</f>
        <v/>
      </c>
      <c r="R48" s="74" t="str">
        <f>IF(Table_PrescriptLights_Input[[#This Row],[HVAC Measure]]="", "",Table_PrescriptLights_Input[[#This Row],[Total Equipment Cost]]+Table_PrescriptLights_Input[[#This Row],[Total Labor Cost]])</f>
        <v/>
      </c>
      <c r="S48" s="74" t="str">
        <f>IFERROR(Table_PrescriptLights_Input[[#This Row],[Gross Measure Cost]]-Table_PrescriptLights_Input[[#This Row],[Estimated Incentive]], "")</f>
        <v/>
      </c>
      <c r="T48" s="75" t="str">
        <f t="shared" si="0"/>
        <v/>
      </c>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row>
    <row r="49" spans="1:48" x14ac:dyDescent="0.2">
      <c r="A49" s="4"/>
      <c r="B49" s="71">
        <v>45</v>
      </c>
      <c r="C49" s="69" t="str">
        <f>IFERROR(INDEX(Table_Prescript_Meas[Measure Number], MATCH(E49, Table_Prescript_Meas[Measure Description], 0)), "")</f>
        <v/>
      </c>
      <c r="D49" s="61"/>
      <c r="E49" s="60"/>
      <c r="F49" s="69" t="str">
        <f>IFERROR(INDEX(Table_Prescript_Meas[Units], MATCH(Table_PrescriptLights_Input[[#This Row],[Measure Number]], Table_Prescript_Meas[Measure Number], 0)), "")</f>
        <v/>
      </c>
      <c r="G49" s="72"/>
      <c r="H49" s="51"/>
      <c r="I49" s="51"/>
      <c r="J49" s="51"/>
      <c r="K49" s="73"/>
      <c r="L49" s="73"/>
      <c r="M49"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49" s="74" t="str">
        <f>IFERROR(Table_PrescriptLights_Input[[#This Row],[Per-Unit Incentive]]*Table_PrescriptLights_Input[[#This Row],[Number of Units]],"")</f>
        <v/>
      </c>
      <c r="O49" s="75" t="str">
        <f>IF(OR(Table_PrescriptLights_Input[[#This Row],[HVAC Measure]]=References!$G$4,Table_PrescriptLights_Input[[#This Row],[HVAC Measure]]=References!$G$5),'HVAC Calcs'!$H47,IFERROR(Table_PrescriptLights_Input[[#This Row],[Number of Units]]*INDEX(Table_Prescript_Meas[Deemed kWh Savings], MATCH(Table_PrescriptLights_Input[[#This Row],[Measure Number]], Table_Prescript_Meas[Measure Number], 0)),"" ))</f>
        <v/>
      </c>
      <c r="P49" s="81" t="str">
        <f>IF(OR(Table_PrescriptLights_Input[[#This Row],[HVAC Measure]]=References!$G$4,Table_PrescriptLights_Input[[#This Row],[HVAC Measure]]=References!$G$5),'HVAC Calcs'!$I47,IFERROR(Table_PrescriptLights_Input[[#This Row],[Number of Units]]*INDEX(Table_Prescript_Meas[Deemed kW Savings], MATCH(Table_PrescriptLights_Input[[#This Row],[Measure Number]], Table_Prescript_Meas[Measure Number], 0)),"" ))</f>
        <v/>
      </c>
      <c r="Q49" s="74" t="str">
        <f>IFERROR(Table_PrescriptLights_Input[[#This Row],[Energy Savings (kWh)]]*Input_AvgkWhRate, "")</f>
        <v/>
      </c>
      <c r="R49" s="74" t="str">
        <f>IF(Table_PrescriptLights_Input[[#This Row],[HVAC Measure]]="", "",Table_PrescriptLights_Input[[#This Row],[Total Equipment Cost]]+Table_PrescriptLights_Input[[#This Row],[Total Labor Cost]])</f>
        <v/>
      </c>
      <c r="S49" s="74" t="str">
        <f>IFERROR(Table_PrescriptLights_Input[[#This Row],[Gross Measure Cost]]-Table_PrescriptLights_Input[[#This Row],[Estimated Incentive]], "")</f>
        <v/>
      </c>
      <c r="T49" s="75" t="str">
        <f t="shared" si="0"/>
        <v/>
      </c>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row>
    <row r="50" spans="1:48" x14ac:dyDescent="0.2">
      <c r="A50" s="4"/>
      <c r="B50" s="71">
        <v>46</v>
      </c>
      <c r="C50" s="69" t="str">
        <f>IFERROR(INDEX(Table_Prescript_Meas[Measure Number], MATCH(E50, Table_Prescript_Meas[Measure Description], 0)), "")</f>
        <v/>
      </c>
      <c r="D50" s="61"/>
      <c r="E50" s="60"/>
      <c r="F50" s="69" t="str">
        <f>IFERROR(INDEX(Table_Prescript_Meas[Units], MATCH(Table_PrescriptLights_Input[[#This Row],[Measure Number]], Table_Prescript_Meas[Measure Number], 0)), "")</f>
        <v/>
      </c>
      <c r="G50" s="72"/>
      <c r="H50" s="51"/>
      <c r="I50" s="51"/>
      <c r="J50" s="51"/>
      <c r="K50" s="73"/>
      <c r="L50" s="73"/>
      <c r="M50"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50" s="74" t="str">
        <f>IFERROR(Table_PrescriptLights_Input[[#This Row],[Per-Unit Incentive]]*Table_PrescriptLights_Input[[#This Row],[Number of Units]],"")</f>
        <v/>
      </c>
      <c r="O50" s="75" t="str">
        <f>IF(OR(Table_PrescriptLights_Input[[#This Row],[HVAC Measure]]=References!$G$4,Table_PrescriptLights_Input[[#This Row],[HVAC Measure]]=References!$G$5),'HVAC Calcs'!$H48,IFERROR(Table_PrescriptLights_Input[[#This Row],[Number of Units]]*INDEX(Table_Prescript_Meas[Deemed kWh Savings], MATCH(Table_PrescriptLights_Input[[#This Row],[Measure Number]], Table_Prescript_Meas[Measure Number], 0)),"" ))</f>
        <v/>
      </c>
      <c r="P50" s="81" t="str">
        <f>IF(OR(Table_PrescriptLights_Input[[#This Row],[HVAC Measure]]=References!$G$4,Table_PrescriptLights_Input[[#This Row],[HVAC Measure]]=References!$G$5),'HVAC Calcs'!$I48,IFERROR(Table_PrescriptLights_Input[[#This Row],[Number of Units]]*INDEX(Table_Prescript_Meas[Deemed kW Savings], MATCH(Table_PrescriptLights_Input[[#This Row],[Measure Number]], Table_Prescript_Meas[Measure Number], 0)),"" ))</f>
        <v/>
      </c>
      <c r="Q50" s="74" t="str">
        <f>IFERROR(Table_PrescriptLights_Input[[#This Row],[Energy Savings (kWh)]]*Input_AvgkWhRate, "")</f>
        <v/>
      </c>
      <c r="R50" s="74" t="str">
        <f>IF(Table_PrescriptLights_Input[[#This Row],[HVAC Measure]]="", "",Table_PrescriptLights_Input[[#This Row],[Total Equipment Cost]]+Table_PrescriptLights_Input[[#This Row],[Total Labor Cost]])</f>
        <v/>
      </c>
      <c r="S50" s="74" t="str">
        <f>IFERROR(Table_PrescriptLights_Input[[#This Row],[Gross Measure Cost]]-Table_PrescriptLights_Input[[#This Row],[Estimated Incentive]], "")</f>
        <v/>
      </c>
      <c r="T50" s="75" t="str">
        <f t="shared" si="0"/>
        <v/>
      </c>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row>
    <row r="51" spans="1:48" x14ac:dyDescent="0.2">
      <c r="A51" s="4"/>
      <c r="B51" s="71">
        <v>47</v>
      </c>
      <c r="C51" s="69" t="str">
        <f>IFERROR(INDEX(Table_Prescript_Meas[Measure Number], MATCH(E51, Table_Prescript_Meas[Measure Description], 0)), "")</f>
        <v/>
      </c>
      <c r="D51" s="61"/>
      <c r="E51" s="60"/>
      <c r="F51" s="69" t="str">
        <f>IFERROR(INDEX(Table_Prescript_Meas[Units], MATCH(Table_PrescriptLights_Input[[#This Row],[Measure Number]], Table_Prescript_Meas[Measure Number], 0)), "")</f>
        <v/>
      </c>
      <c r="G51" s="72"/>
      <c r="H51" s="51"/>
      <c r="I51" s="51"/>
      <c r="J51" s="51"/>
      <c r="K51" s="73"/>
      <c r="L51" s="73"/>
      <c r="M51"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51" s="74" t="str">
        <f>IFERROR(Table_PrescriptLights_Input[[#This Row],[Per-Unit Incentive]]*Table_PrescriptLights_Input[[#This Row],[Number of Units]],"")</f>
        <v/>
      </c>
      <c r="O51" s="75" t="str">
        <f>IF(OR(Table_PrescriptLights_Input[[#This Row],[HVAC Measure]]=References!$G$4,Table_PrescriptLights_Input[[#This Row],[HVAC Measure]]=References!$G$5),'HVAC Calcs'!$H49,IFERROR(Table_PrescriptLights_Input[[#This Row],[Number of Units]]*INDEX(Table_Prescript_Meas[Deemed kWh Savings], MATCH(Table_PrescriptLights_Input[[#This Row],[Measure Number]], Table_Prescript_Meas[Measure Number], 0)),"" ))</f>
        <v/>
      </c>
      <c r="P51" s="81" t="str">
        <f>IF(OR(Table_PrescriptLights_Input[[#This Row],[HVAC Measure]]=References!$G$4,Table_PrescriptLights_Input[[#This Row],[HVAC Measure]]=References!$G$5),'HVAC Calcs'!$I49,IFERROR(Table_PrescriptLights_Input[[#This Row],[Number of Units]]*INDEX(Table_Prescript_Meas[Deemed kW Savings], MATCH(Table_PrescriptLights_Input[[#This Row],[Measure Number]], Table_Prescript_Meas[Measure Number], 0)),"" ))</f>
        <v/>
      </c>
      <c r="Q51" s="74" t="str">
        <f>IFERROR(Table_PrescriptLights_Input[[#This Row],[Energy Savings (kWh)]]*Input_AvgkWhRate, "")</f>
        <v/>
      </c>
      <c r="R51" s="74" t="str">
        <f>IF(Table_PrescriptLights_Input[[#This Row],[HVAC Measure]]="", "",Table_PrescriptLights_Input[[#This Row],[Total Equipment Cost]]+Table_PrescriptLights_Input[[#This Row],[Total Labor Cost]])</f>
        <v/>
      </c>
      <c r="S51" s="74" t="str">
        <f>IFERROR(Table_PrescriptLights_Input[[#This Row],[Gross Measure Cost]]-Table_PrescriptLights_Input[[#This Row],[Estimated Incentive]], "")</f>
        <v/>
      </c>
      <c r="T51" s="75" t="str">
        <f t="shared" si="0"/>
        <v/>
      </c>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row>
    <row r="52" spans="1:48" x14ac:dyDescent="0.2">
      <c r="A52" s="4"/>
      <c r="B52" s="71">
        <v>48</v>
      </c>
      <c r="C52" s="69" t="str">
        <f>IFERROR(INDEX(Table_Prescript_Meas[Measure Number], MATCH(E52, Table_Prescript_Meas[Measure Description], 0)), "")</f>
        <v/>
      </c>
      <c r="D52" s="61"/>
      <c r="E52" s="60"/>
      <c r="F52" s="69" t="str">
        <f>IFERROR(INDEX(Table_Prescript_Meas[Units], MATCH(Table_PrescriptLights_Input[[#This Row],[Measure Number]], Table_Prescript_Meas[Measure Number], 0)), "")</f>
        <v/>
      </c>
      <c r="G52" s="72"/>
      <c r="H52" s="51"/>
      <c r="I52" s="51"/>
      <c r="J52" s="51"/>
      <c r="K52" s="73"/>
      <c r="L52" s="73"/>
      <c r="M52"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52" s="74" t="str">
        <f>IFERROR(Table_PrescriptLights_Input[[#This Row],[Per-Unit Incentive]]*Table_PrescriptLights_Input[[#This Row],[Number of Units]],"")</f>
        <v/>
      </c>
      <c r="O52" s="75" t="str">
        <f>IF(OR(Table_PrescriptLights_Input[[#This Row],[HVAC Measure]]=References!$G$4,Table_PrescriptLights_Input[[#This Row],[HVAC Measure]]=References!$G$5),'HVAC Calcs'!$H50,IFERROR(Table_PrescriptLights_Input[[#This Row],[Number of Units]]*INDEX(Table_Prescript_Meas[Deemed kWh Savings], MATCH(Table_PrescriptLights_Input[[#This Row],[Measure Number]], Table_Prescript_Meas[Measure Number], 0)),"" ))</f>
        <v/>
      </c>
      <c r="P52" s="81" t="str">
        <f>IF(OR(Table_PrescriptLights_Input[[#This Row],[HVAC Measure]]=References!$G$4,Table_PrescriptLights_Input[[#This Row],[HVAC Measure]]=References!$G$5),'HVAC Calcs'!$I50,IFERROR(Table_PrescriptLights_Input[[#This Row],[Number of Units]]*INDEX(Table_Prescript_Meas[Deemed kW Savings], MATCH(Table_PrescriptLights_Input[[#This Row],[Measure Number]], Table_Prescript_Meas[Measure Number], 0)),"" ))</f>
        <v/>
      </c>
      <c r="Q52" s="74" t="str">
        <f>IFERROR(Table_PrescriptLights_Input[[#This Row],[Energy Savings (kWh)]]*Input_AvgkWhRate, "")</f>
        <v/>
      </c>
      <c r="R52" s="74" t="str">
        <f>IF(Table_PrescriptLights_Input[[#This Row],[HVAC Measure]]="", "",Table_PrescriptLights_Input[[#This Row],[Total Equipment Cost]]+Table_PrescriptLights_Input[[#This Row],[Total Labor Cost]])</f>
        <v/>
      </c>
      <c r="S52" s="74" t="str">
        <f>IFERROR(Table_PrescriptLights_Input[[#This Row],[Gross Measure Cost]]-Table_PrescriptLights_Input[[#This Row],[Estimated Incentive]], "")</f>
        <v/>
      </c>
      <c r="T52" s="75" t="str">
        <f t="shared" si="0"/>
        <v/>
      </c>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row>
    <row r="53" spans="1:48" x14ac:dyDescent="0.2">
      <c r="A53" s="4"/>
      <c r="B53" s="71">
        <v>49</v>
      </c>
      <c r="C53" s="69" t="str">
        <f>IFERROR(INDEX(Table_Prescript_Meas[Measure Number], MATCH(E53, Table_Prescript_Meas[Measure Description], 0)), "")</f>
        <v/>
      </c>
      <c r="D53" s="61"/>
      <c r="E53" s="60"/>
      <c r="F53" s="69" t="str">
        <f>IFERROR(INDEX(Table_Prescript_Meas[Units], MATCH(Table_PrescriptLights_Input[[#This Row],[Measure Number]], Table_Prescript_Meas[Measure Number], 0)), "")</f>
        <v/>
      </c>
      <c r="G53" s="72"/>
      <c r="H53" s="51"/>
      <c r="I53" s="51"/>
      <c r="J53" s="51"/>
      <c r="K53" s="73"/>
      <c r="L53" s="73"/>
      <c r="M53"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53" s="74" t="str">
        <f>IFERROR(Table_PrescriptLights_Input[[#This Row],[Per-Unit Incentive]]*Table_PrescriptLights_Input[[#This Row],[Number of Units]],"")</f>
        <v/>
      </c>
      <c r="O53" s="75" t="str">
        <f>IF(OR(Table_PrescriptLights_Input[[#This Row],[HVAC Measure]]=References!$G$4,Table_PrescriptLights_Input[[#This Row],[HVAC Measure]]=References!$G$5),'HVAC Calcs'!$H51,IFERROR(Table_PrescriptLights_Input[[#This Row],[Number of Units]]*INDEX(Table_Prescript_Meas[Deemed kWh Savings], MATCH(Table_PrescriptLights_Input[[#This Row],[Measure Number]], Table_Prescript_Meas[Measure Number], 0)),"" ))</f>
        <v/>
      </c>
      <c r="P53" s="81" t="str">
        <f>IF(OR(Table_PrescriptLights_Input[[#This Row],[HVAC Measure]]=References!$G$4,Table_PrescriptLights_Input[[#This Row],[HVAC Measure]]=References!$G$5),'HVAC Calcs'!$I51,IFERROR(Table_PrescriptLights_Input[[#This Row],[Number of Units]]*INDEX(Table_Prescript_Meas[Deemed kW Savings], MATCH(Table_PrescriptLights_Input[[#This Row],[Measure Number]], Table_Prescript_Meas[Measure Number], 0)),"" ))</f>
        <v/>
      </c>
      <c r="Q53" s="74" t="str">
        <f>IFERROR(Table_PrescriptLights_Input[[#This Row],[Energy Savings (kWh)]]*Input_AvgkWhRate, "")</f>
        <v/>
      </c>
      <c r="R53" s="74" t="str">
        <f>IF(Table_PrescriptLights_Input[[#This Row],[HVAC Measure]]="", "",Table_PrescriptLights_Input[[#This Row],[Total Equipment Cost]]+Table_PrescriptLights_Input[[#This Row],[Total Labor Cost]])</f>
        <v/>
      </c>
      <c r="S53" s="74" t="str">
        <f>IFERROR(Table_PrescriptLights_Input[[#This Row],[Gross Measure Cost]]-Table_PrescriptLights_Input[[#This Row],[Estimated Incentive]], "")</f>
        <v/>
      </c>
      <c r="T53" s="75" t="str">
        <f t="shared" si="0"/>
        <v/>
      </c>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row>
    <row r="54" spans="1:48" x14ac:dyDescent="0.2">
      <c r="A54" s="4"/>
      <c r="B54" s="71">
        <v>50</v>
      </c>
      <c r="C54" s="69" t="str">
        <f>IFERROR(INDEX(Table_Prescript_Meas[Measure Number], MATCH(E54, Table_Prescript_Meas[Measure Description], 0)), "")</f>
        <v/>
      </c>
      <c r="D54" s="61"/>
      <c r="E54" s="60"/>
      <c r="F54" s="69" t="str">
        <f>IFERROR(INDEX(Table_Prescript_Meas[Units], MATCH(Table_PrescriptLights_Input[[#This Row],[Measure Number]], Table_Prescript_Meas[Measure Number], 0)), "")</f>
        <v/>
      </c>
      <c r="G54" s="72"/>
      <c r="H54" s="51"/>
      <c r="I54" s="51"/>
      <c r="J54" s="51"/>
      <c r="K54" s="73"/>
      <c r="L54" s="73"/>
      <c r="M54" s="74" t="str">
        <f>IFERROR(IF(Input_ProgramType=References!$W$4, INDEX(Table_Prescript_Meas[Incentive - SC], MATCH(Table_PrescriptLights_Input[[#This Row],[Measure Number]], Table_Prescript_Meas[Measure Number], 0)), INDEX(Table_Prescript_Meas[Incentive - LC], MATCH(Table_PrescriptLights_Input[[#This Row],[Measure Number]], Table_Prescript_Meas[Measure Number], 0))), "")</f>
        <v/>
      </c>
      <c r="N54" s="74" t="str">
        <f>IFERROR(Table_PrescriptLights_Input[[#This Row],[Per-Unit Incentive]]*Table_PrescriptLights_Input[[#This Row],[Number of Units]],"")</f>
        <v/>
      </c>
      <c r="O54" s="75" t="str">
        <f>IF(OR(Table_PrescriptLights_Input[[#This Row],[HVAC Measure]]=References!$G$4,Table_PrescriptLights_Input[[#This Row],[HVAC Measure]]=References!$G$5),'HVAC Calcs'!$H52,IFERROR(Table_PrescriptLights_Input[[#This Row],[Number of Units]]*INDEX(Table_Prescript_Meas[Deemed kWh Savings], MATCH(Table_PrescriptLights_Input[[#This Row],[Measure Number]], Table_Prescript_Meas[Measure Number], 0)),"" ))</f>
        <v/>
      </c>
      <c r="P54" s="81" t="str">
        <f>IF(OR(Table_PrescriptLights_Input[[#This Row],[HVAC Measure]]=References!$G$4,Table_PrescriptLights_Input[[#This Row],[HVAC Measure]]=References!$G$5),'HVAC Calcs'!$I52,IFERROR(Table_PrescriptLights_Input[[#This Row],[Number of Units]]*INDEX(Table_Prescript_Meas[Deemed kW Savings], MATCH(Table_PrescriptLights_Input[[#This Row],[Measure Number]], Table_Prescript_Meas[Measure Number], 0)),"" ))</f>
        <v/>
      </c>
      <c r="Q54" s="74" t="str">
        <f>IFERROR(Table_PrescriptLights_Input[[#This Row],[Energy Savings (kWh)]]*Input_AvgkWhRate, "")</f>
        <v/>
      </c>
      <c r="R54" s="74" t="str">
        <f>IF(Table_PrescriptLights_Input[[#This Row],[HVAC Measure]]="", "",Table_PrescriptLights_Input[[#This Row],[Total Equipment Cost]]+Table_PrescriptLights_Input[[#This Row],[Total Labor Cost]])</f>
        <v/>
      </c>
      <c r="S54" s="74" t="str">
        <f>IFERROR(Table_PrescriptLights_Input[[#This Row],[Gross Measure Cost]]-Table_PrescriptLights_Input[[#This Row],[Estimated Incentive]], "")</f>
        <v/>
      </c>
      <c r="T54" s="75" t="str">
        <f t="shared" si="0"/>
        <v/>
      </c>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row>
    <row r="55" spans="1:48" x14ac:dyDescent="0.2">
      <c r="A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row>
    <row r="56" spans="1:48" x14ac:dyDescent="0.2">
      <c r="F56"/>
    </row>
    <row r="57" spans="1:48" x14ac:dyDescent="0.2">
      <c r="B57" t="s">
        <v>11</v>
      </c>
      <c r="F57"/>
    </row>
    <row r="58" spans="1:48" x14ac:dyDescent="0.2">
      <c r="B58" t="str">
        <f>Value_Application_Version</f>
        <v>Version 3.1</v>
      </c>
      <c r="F58"/>
    </row>
    <row r="59" spans="1:48" x14ac:dyDescent="0.2">
      <c r="F59"/>
    </row>
    <row r="60" spans="1:48" x14ac:dyDescent="0.2">
      <c r="A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row>
    <row r="61" spans="1:48" x14ac:dyDescent="0.2">
      <c r="A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row>
    <row r="62" spans="1:48" x14ac:dyDescent="0.2">
      <c r="A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row>
    <row r="63" spans="1:48" x14ac:dyDescent="0.2">
      <c r="A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row>
    <row r="64" spans="1:48" x14ac:dyDescent="0.2">
      <c r="A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row>
    <row r="65" spans="1:48" x14ac:dyDescent="0.2">
      <c r="A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row>
    <row r="66" spans="1:48" x14ac:dyDescent="0.2">
      <c r="A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row>
    <row r="67" spans="1:48" x14ac:dyDescent="0.2">
      <c r="A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row>
    <row r="68" spans="1:48" x14ac:dyDescent="0.2">
      <c r="A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row>
    <row r="69" spans="1:48" x14ac:dyDescent="0.2">
      <c r="A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row>
    <row r="70" spans="1:48" x14ac:dyDescent="0.2">
      <c r="A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row>
    <row r="71" spans="1:48" x14ac:dyDescent="0.2">
      <c r="A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row>
    <row r="72" spans="1:48" x14ac:dyDescent="0.2">
      <c r="A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row>
    <row r="73" spans="1:48" x14ac:dyDescent="0.2">
      <c r="A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row>
    <row r="74" spans="1:48" x14ac:dyDescent="0.2">
      <c r="A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row>
    <row r="75" spans="1:48" x14ac:dyDescent="0.2">
      <c r="A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row>
    <row r="76" spans="1:48" x14ac:dyDescent="0.2">
      <c r="A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row>
    <row r="77" spans="1:48" x14ac:dyDescent="0.2">
      <c r="A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row>
    <row r="78" spans="1:48" x14ac:dyDescent="0.2">
      <c r="A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row>
    <row r="79" spans="1:48" x14ac:dyDescent="0.2">
      <c r="A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row>
    <row r="80" spans="1:48" x14ac:dyDescent="0.2">
      <c r="A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row>
    <row r="81" spans="1:48" x14ac:dyDescent="0.2">
      <c r="A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row>
    <row r="82" spans="1:48" x14ac:dyDescent="0.2">
      <c r="A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row>
    <row r="83" spans="1:48" x14ac:dyDescent="0.2">
      <c r="A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row>
    <row r="84" spans="1:48" x14ac:dyDescent="0.2">
      <c r="A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row>
    <row r="85" spans="1:48" x14ac:dyDescent="0.2">
      <c r="A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row>
    <row r="86" spans="1:48" x14ac:dyDescent="0.2">
      <c r="A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row>
    <row r="87" spans="1:48" x14ac:dyDescent="0.2">
      <c r="A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row>
    <row r="88" spans="1:48" x14ac:dyDescent="0.2">
      <c r="A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row>
    <row r="89" spans="1:48" x14ac:dyDescent="0.2">
      <c r="A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row>
    <row r="90" spans="1:48" x14ac:dyDescent="0.2">
      <c r="A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row>
    <row r="91" spans="1:48" x14ac:dyDescent="0.2">
      <c r="A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row>
    <row r="92" spans="1:48" x14ac:dyDescent="0.2">
      <c r="A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row>
    <row r="93" spans="1:48" x14ac:dyDescent="0.2">
      <c r="A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row>
    <row r="94" spans="1:48" x14ac:dyDescent="0.2">
      <c r="A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row>
    <row r="95" spans="1:48" x14ac:dyDescent="0.2">
      <c r="A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row>
    <row r="96" spans="1:48" x14ac:dyDescent="0.2">
      <c r="A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row>
    <row r="97" spans="1:48" x14ac:dyDescent="0.2">
      <c r="A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row>
    <row r="98" spans="1:48" x14ac:dyDescent="0.2">
      <c r="A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row>
    <row r="99" spans="1:48" x14ac:dyDescent="0.2">
      <c r="A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row>
    <row r="100" spans="1:48" x14ac:dyDescent="0.2">
      <c r="A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row>
    <row r="101" spans="1:48" x14ac:dyDescent="0.2">
      <c r="A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row>
    <row r="102" spans="1:48" x14ac:dyDescent="0.2">
      <c r="A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row>
    <row r="103" spans="1:48" x14ac:dyDescent="0.2">
      <c r="A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row>
    <row r="104" spans="1:48" x14ac:dyDescent="0.2">
      <c r="A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row>
    <row r="105" spans="1:48" x14ac:dyDescent="0.2">
      <c r="A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row>
    <row r="106" spans="1:48" x14ac:dyDescent="0.2">
      <c r="A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row>
    <row r="107" spans="1:48" x14ac:dyDescent="0.2">
      <c r="A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row>
    <row r="108" spans="1:48" x14ac:dyDescent="0.2">
      <c r="A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row>
    <row r="109" spans="1:48" x14ac:dyDescent="0.2">
      <c r="A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row>
    <row r="110" spans="1:48" x14ac:dyDescent="0.2">
      <c r="A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row>
    <row r="111" spans="1:48" x14ac:dyDescent="0.2">
      <c r="A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row>
    <row r="112" spans="1:48" x14ac:dyDescent="0.2">
      <c r="A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row>
    <row r="113" spans="1:48" x14ac:dyDescent="0.2">
      <c r="A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row>
    <row r="114" spans="1:48" x14ac:dyDescent="0.2">
      <c r="A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row>
    <row r="115" spans="1:48" x14ac:dyDescent="0.2">
      <c r="A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row>
    <row r="116" spans="1:48" x14ac:dyDescent="0.2">
      <c r="A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row>
    <row r="117" spans="1:48" x14ac:dyDescent="0.2">
      <c r="A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row>
    <row r="118" spans="1:48" x14ac:dyDescent="0.2">
      <c r="A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row>
    <row r="119" spans="1:48" x14ac:dyDescent="0.2">
      <c r="A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row>
    <row r="120" spans="1:48" x14ac:dyDescent="0.2">
      <c r="A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row>
    <row r="121" spans="1:48" x14ac:dyDescent="0.2">
      <c r="A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row>
    <row r="122" spans="1:48" x14ac:dyDescent="0.2">
      <c r="A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row>
    <row r="123" spans="1:48" x14ac:dyDescent="0.2">
      <c r="A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row>
    <row r="124" spans="1:48" x14ac:dyDescent="0.2">
      <c r="A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row>
    <row r="125" spans="1:48" x14ac:dyDescent="0.2">
      <c r="A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row>
    <row r="126" spans="1:48" x14ac:dyDescent="0.2">
      <c r="A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row>
    <row r="127" spans="1:48" x14ac:dyDescent="0.2">
      <c r="A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row>
    <row r="128" spans="1:48" x14ac:dyDescent="0.2">
      <c r="A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row>
    <row r="129" spans="1:48" x14ac:dyDescent="0.2">
      <c r="A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row>
    <row r="130" spans="1:48" x14ac:dyDescent="0.2">
      <c r="A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row>
    <row r="131" spans="1:48" x14ac:dyDescent="0.2">
      <c r="A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row>
    <row r="132" spans="1:48" x14ac:dyDescent="0.2">
      <c r="A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row>
    <row r="133" spans="1:48" x14ac:dyDescent="0.2">
      <c r="A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row>
    <row r="134" spans="1:48" x14ac:dyDescent="0.2">
      <c r="A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row>
    <row r="135" spans="1:48" x14ac:dyDescent="0.2">
      <c r="A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row>
    <row r="136" spans="1:48" x14ac:dyDescent="0.2">
      <c r="A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row>
    <row r="137" spans="1:48" x14ac:dyDescent="0.2">
      <c r="A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row>
    <row r="138" spans="1:48" x14ac:dyDescent="0.2">
      <c r="A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row>
    <row r="139" spans="1:48" x14ac:dyDescent="0.2">
      <c r="A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row>
    <row r="140" spans="1:48" x14ac:dyDescent="0.2">
      <c r="A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row>
    <row r="141" spans="1:48" x14ac:dyDescent="0.2">
      <c r="A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row>
    <row r="142" spans="1:48" x14ac:dyDescent="0.2">
      <c r="A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row>
    <row r="143" spans="1:48" x14ac:dyDescent="0.2">
      <c r="A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row>
    <row r="144" spans="1:48" x14ac:dyDescent="0.2">
      <c r="A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row>
    <row r="145" spans="1:48" x14ac:dyDescent="0.2">
      <c r="A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row>
    <row r="146" spans="1:48" x14ac:dyDescent="0.2">
      <c r="A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row>
    <row r="147" spans="1:48" x14ac:dyDescent="0.2">
      <c r="A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row>
    <row r="148" spans="1:48" x14ac:dyDescent="0.2">
      <c r="A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row>
    <row r="149" spans="1:48" x14ac:dyDescent="0.2">
      <c r="A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row>
    <row r="150" spans="1:48" x14ac:dyDescent="0.2">
      <c r="A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row>
    <row r="151" spans="1:48" x14ac:dyDescent="0.2">
      <c r="A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row>
    <row r="152" spans="1:48" x14ac:dyDescent="0.2">
      <c r="A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row>
    <row r="153" spans="1:48" x14ac:dyDescent="0.2">
      <c r="A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row>
    <row r="154" spans="1:48" x14ac:dyDescent="0.2">
      <c r="A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row>
    <row r="155" spans="1:48" x14ac:dyDescent="0.2">
      <c r="A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row>
    <row r="156" spans="1:48" x14ac:dyDescent="0.2">
      <c r="A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row>
    <row r="157" spans="1:48" x14ac:dyDescent="0.2">
      <c r="A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row>
    <row r="158" spans="1:48" x14ac:dyDescent="0.2">
      <c r="A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row>
    <row r="159" spans="1:48" x14ac:dyDescent="0.2">
      <c r="A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row>
    <row r="160" spans="1:48" x14ac:dyDescent="0.2">
      <c r="A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row>
    <row r="161" spans="1:48" x14ac:dyDescent="0.2">
      <c r="A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row>
    <row r="162" spans="1:48" x14ac:dyDescent="0.2">
      <c r="A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row>
    <row r="163" spans="1:48" x14ac:dyDescent="0.2">
      <c r="A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row>
    <row r="164" spans="1:48" x14ac:dyDescent="0.2">
      <c r="A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row>
    <row r="165" spans="1:48" x14ac:dyDescent="0.2">
      <c r="A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row>
    <row r="166" spans="1:48" x14ac:dyDescent="0.2">
      <c r="A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row>
    <row r="167" spans="1:48" x14ac:dyDescent="0.2">
      <c r="A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row>
    <row r="168" spans="1:48" x14ac:dyDescent="0.2">
      <c r="A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row>
    <row r="169" spans="1:48" x14ac:dyDescent="0.2">
      <c r="A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row>
    <row r="170" spans="1:48" x14ac:dyDescent="0.2">
      <c r="A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row>
    <row r="171" spans="1:48" x14ac:dyDescent="0.2">
      <c r="A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row>
    <row r="172" spans="1:48" x14ac:dyDescent="0.2">
      <c r="A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row>
    <row r="173" spans="1:48" x14ac:dyDescent="0.2">
      <c r="A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row>
    <row r="174" spans="1:48" x14ac:dyDescent="0.2">
      <c r="A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row>
    <row r="175" spans="1:48" x14ac:dyDescent="0.2">
      <c r="A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row>
    <row r="176" spans="1:48" x14ac:dyDescent="0.2">
      <c r="A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row>
    <row r="177" spans="1:48" x14ac:dyDescent="0.2">
      <c r="A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row>
    <row r="178" spans="1:48" x14ac:dyDescent="0.2">
      <c r="A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row>
    <row r="179" spans="1:48" x14ac:dyDescent="0.2">
      <c r="A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row>
    <row r="180" spans="1:48" x14ac:dyDescent="0.2">
      <c r="A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row>
    <row r="181" spans="1:48" x14ac:dyDescent="0.2">
      <c r="A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row>
    <row r="182" spans="1:48" x14ac:dyDescent="0.2">
      <c r="A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row>
    <row r="183" spans="1:48" x14ac:dyDescent="0.2">
      <c r="A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row>
    <row r="184" spans="1:48" x14ac:dyDescent="0.2">
      <c r="A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row>
    <row r="185" spans="1:48" x14ac:dyDescent="0.2">
      <c r="A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row>
    <row r="186" spans="1:48" x14ac:dyDescent="0.2">
      <c r="A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row>
    <row r="187" spans="1:48" x14ac:dyDescent="0.2">
      <c r="A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row>
    <row r="188" spans="1:48" x14ac:dyDescent="0.2">
      <c r="A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row>
    <row r="189" spans="1:48" x14ac:dyDescent="0.2">
      <c r="A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row>
    <row r="190" spans="1:48" x14ac:dyDescent="0.2">
      <c r="A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row>
    <row r="191" spans="1:48" x14ac:dyDescent="0.2">
      <c r="A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row>
    <row r="192" spans="1:48" x14ac:dyDescent="0.2">
      <c r="A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row>
    <row r="193" spans="1:48" x14ac:dyDescent="0.2">
      <c r="A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row>
    <row r="194" spans="1:48" x14ac:dyDescent="0.2">
      <c r="A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row>
    <row r="195" spans="1:48" x14ac:dyDescent="0.2">
      <c r="A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row>
    <row r="196" spans="1:48" x14ac:dyDescent="0.2">
      <c r="A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row>
    <row r="197" spans="1:48" x14ac:dyDescent="0.2">
      <c r="A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row>
    <row r="198" spans="1:48" x14ac:dyDescent="0.2">
      <c r="A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row>
    <row r="199" spans="1:48" x14ac:dyDescent="0.2">
      <c r="A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row>
    <row r="200" spans="1:48" x14ac:dyDescent="0.2">
      <c r="A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row>
    <row r="201" spans="1:48" x14ac:dyDescent="0.2">
      <c r="A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row>
    <row r="202" spans="1:48" x14ac:dyDescent="0.2">
      <c r="A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row>
    <row r="203" spans="1:48" x14ac:dyDescent="0.2">
      <c r="A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row>
    <row r="204" spans="1:48" x14ac:dyDescent="0.2">
      <c r="A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row>
  </sheetData>
  <sheetProtection algorithmName="SHA-512" hashValue="j3nnLg60OUAtLFjN8Y3KfsxiMiIbaWjPzr811nLY2mffu6l8JyheYwGS4M63R6kw5BdKruqMrX+mRgeFsbhz5Q==" saltValue="1eeu5f8aYDwDX936Xbhczw==" spinCount="100000" sheet="1" selectLockedCells="1"/>
  <mergeCells count="2">
    <mergeCell ref="G3:L3"/>
    <mergeCell ref="B1:Q1"/>
  </mergeCells>
  <phoneticPr fontId="9" type="noConversion"/>
  <conditionalFormatting sqref="G5:L54">
    <cfRule type="expression" dxfId="242" priority="31">
      <formula>OR($E5="", $F5=0)</formula>
    </cfRule>
  </conditionalFormatting>
  <conditionalFormatting sqref="H5:J54">
    <cfRule type="expression" dxfId="241" priority="2">
      <formula>AND($E5&lt;&gt;"High Eff. AC Unit", $E5&lt;&gt;"High Eff. Heat Pump Unit")</formula>
    </cfRule>
  </conditionalFormatting>
  <conditionalFormatting sqref="J5:J54">
    <cfRule type="expression" dxfId="240" priority="1">
      <formula>$E5&lt;&gt;"High Eff. Heat Pump Unit"</formula>
    </cfRule>
  </conditionalFormatting>
  <dataValidations count="1">
    <dataValidation type="list" allowBlank="1" showInputMessage="1" showErrorMessage="1" sqref="E5:E54" xr:uid="{EC948A56-5DDA-46E0-992E-80BD92A1837B}">
      <formula1>List_HVAC_Measure</formula1>
    </dataValidation>
  </dataValidations>
  <pageMargins left="0.7" right="0.7" top="0.75" bottom="0.75" header="0.3" footer="0.3"/>
  <pageSetup scale="75" fitToWidth="0" fitToHeight="0" orientation="landscape" verticalDpi="4294967293" r:id="rId1"/>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C07D96C7-5B89-48BB-9866-A4EA4750BB35}">
          <x14:formula1>
            <xm:f>References!$K$103:$K$112</xm:f>
          </x14:formula1>
          <xm:sqref>E3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1E205-5EDA-4FBB-9699-60F572B06CD8}">
  <sheetPr codeName="Sheet6">
    <tabColor theme="4"/>
    <pageSetUpPr fitToPage="1"/>
  </sheetPr>
  <dimension ref="B1:U105"/>
  <sheetViews>
    <sheetView showGridLines="0" showRowColHeaders="0" workbookViewId="0">
      <selection activeCell="D6" sqref="D6"/>
    </sheetView>
  </sheetViews>
  <sheetFormatPr defaultColWidth="9.140625" defaultRowHeight="12.75" x14ac:dyDescent="0.2"/>
  <cols>
    <col min="1" max="1" width="2.85546875" style="7" customWidth="1"/>
    <col min="2" max="2" width="5.85546875" style="7" customWidth="1"/>
    <col min="3" max="3" width="9.7109375" style="7" customWidth="1"/>
    <col min="4" max="4" width="17.28515625" style="7" customWidth="1"/>
    <col min="5" max="6" width="29.5703125" style="7" customWidth="1"/>
    <col min="7" max="7" width="10.140625" style="7" customWidth="1"/>
    <col min="8" max="8" width="11.140625" style="11" customWidth="1"/>
    <col min="9" max="10" width="10.5703125" style="11" customWidth="1"/>
    <col min="11" max="11" width="11" style="7" customWidth="1"/>
    <col min="12" max="12" width="12" style="7" customWidth="1"/>
    <col min="13" max="13" width="11.85546875" style="7" customWidth="1"/>
    <col min="14" max="15" width="10.28515625" style="7" customWidth="1"/>
    <col min="16" max="16" width="13.42578125" style="7" customWidth="1"/>
    <col min="17" max="17" width="9.5703125" style="7" customWidth="1"/>
    <col min="22" max="16384" width="9.140625" style="7"/>
  </cols>
  <sheetData>
    <row r="1" spans="2:21" customFormat="1" ht="37.5" customHeight="1" x14ac:dyDescent="0.2">
      <c r="B1" s="253" t="s">
        <v>101</v>
      </c>
      <c r="C1" s="253"/>
      <c r="D1" s="253"/>
      <c r="E1" s="253"/>
      <c r="F1" s="253"/>
      <c r="G1" s="253"/>
      <c r="H1" s="253"/>
      <c r="I1" s="253"/>
      <c r="J1" s="253"/>
      <c r="K1" s="253"/>
      <c r="L1" s="253"/>
      <c r="M1" s="253"/>
      <c r="N1" s="253"/>
      <c r="O1" s="151"/>
      <c r="P1" s="152"/>
      <c r="Q1" s="152"/>
    </row>
    <row r="2" spans="2:21" customFormat="1" x14ac:dyDescent="0.2">
      <c r="O2" s="7"/>
    </row>
    <row r="3" spans="2:21" customFormat="1" x14ac:dyDescent="0.2">
      <c r="O3" s="7"/>
    </row>
    <row r="4" spans="2:21" s="8" customFormat="1" ht="15.75" x14ac:dyDescent="0.2">
      <c r="B4" s="111"/>
      <c r="C4" s="111"/>
      <c r="D4" s="111"/>
      <c r="E4"/>
      <c r="F4"/>
      <c r="G4" s="282" t="s">
        <v>75</v>
      </c>
      <c r="H4" s="283"/>
      <c r="I4" s="284"/>
      <c r="J4" s="84" t="s">
        <v>76</v>
      </c>
      <c r="K4" s="145">
        <f>SUM(Table_Custom_Input[Estimated Incentive])</f>
        <v>0</v>
      </c>
      <c r="L4" s="83">
        <f>SUM(Table_Custom_Input[Energy Savings (kWh)])</f>
        <v>0</v>
      </c>
      <c r="M4" s="82">
        <f>SUM(Table_Custom_Input[Demand Reduction (kW)])</f>
        <v>0</v>
      </c>
      <c r="N4" s="146">
        <f>SUM(Table_Custom_Input[Cost Savings])</f>
        <v>0</v>
      </c>
      <c r="O4" s="146">
        <f>SUM(Table_Custom_Input[Gross Measure Cost])</f>
        <v>0</v>
      </c>
      <c r="P4" s="146">
        <f>O4-K4</f>
        <v>0</v>
      </c>
      <c r="Q4" s="83" t="str">
        <f>IFERROR(P4/N4, "")</f>
        <v/>
      </c>
      <c r="R4"/>
      <c r="S4"/>
      <c r="T4"/>
      <c r="U4"/>
    </row>
    <row r="5" spans="2:21" s="9" customFormat="1" ht="38.25" x14ac:dyDescent="0.2">
      <c r="B5" s="62" t="s">
        <v>77</v>
      </c>
      <c r="C5" s="62" t="s">
        <v>78</v>
      </c>
      <c r="D5" s="66" t="s">
        <v>79</v>
      </c>
      <c r="E5" s="64" t="s">
        <v>102</v>
      </c>
      <c r="F5" s="64" t="s">
        <v>81</v>
      </c>
      <c r="G5" s="65" t="s">
        <v>82</v>
      </c>
      <c r="H5" s="65" t="s">
        <v>86</v>
      </c>
      <c r="I5" s="65" t="s">
        <v>87</v>
      </c>
      <c r="J5" s="64" t="s">
        <v>88</v>
      </c>
      <c r="K5" s="64" t="s">
        <v>89</v>
      </c>
      <c r="L5" s="64" t="s">
        <v>90</v>
      </c>
      <c r="M5" s="64" t="s">
        <v>91</v>
      </c>
      <c r="N5" s="64" t="s">
        <v>92</v>
      </c>
      <c r="O5" s="64" t="s">
        <v>93</v>
      </c>
      <c r="P5" s="64" t="s">
        <v>94</v>
      </c>
      <c r="Q5" s="64" t="s">
        <v>95</v>
      </c>
      <c r="R5"/>
      <c r="S5"/>
      <c r="T5"/>
      <c r="U5"/>
    </row>
    <row r="6" spans="2:21" s="15" customFormat="1" ht="15" x14ac:dyDescent="0.2">
      <c r="B6" s="69">
        <v>1</v>
      </c>
      <c r="C6" s="69" t="str">
        <f>IFERROR(INDEX(Table_Prescript_Meas[Measure Number], MATCH(Table_Custom_Input[[#This Row],[Refrigeration Measure]], Table_Prescript_Meas[Measure Description], 0)), "")</f>
        <v/>
      </c>
      <c r="D6" s="61"/>
      <c r="E6" s="60"/>
      <c r="F6" s="69" t="str">
        <f>IFERROR(INDEX(Table_Prescript_Meas[Units], MATCH(Table_Custom_Input[[#This Row],[Measure Number]], Table_Prescript_Meas[Measure Number], 0)), "")</f>
        <v/>
      </c>
      <c r="G6" s="60"/>
      <c r="H6" s="73"/>
      <c r="I6" s="73"/>
      <c r="J6"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6" s="74" t="str">
        <f>IFERROR(Table_Custom_Input[[#This Row],[Number of Units]]*Table_Custom_Input[[#This Row],[Per-Unit Incentive]],"")</f>
        <v/>
      </c>
      <c r="L6" s="75" t="str">
        <f>IFERROR(Table_Custom_Input[[#This Row],[Number of Units]]*INDEX(Table_Prescript_Meas[Deemed kWh Savings], MATCH(Table_Custom_Input[[#This Row],[Measure Number]], Table_Prescript_Meas[Measure Number], 0)),"" )</f>
        <v/>
      </c>
      <c r="M6" s="81" t="str">
        <f>IFERROR(Table_Custom_Input[[#This Row],[Number of Units]]*INDEX(Table_Prescript_Meas[Deemed kW Savings], MATCH(Table_Custom_Input[[#This Row],[Measure Number]], Table_Prescript_Meas[Measure Number], 0)),"" )</f>
        <v/>
      </c>
      <c r="N6" s="74" t="str">
        <f>IFERROR(Table_Custom_Input[[#This Row],[Energy Savings (kWh)]]*Input_AvgkWhRate, "")</f>
        <v/>
      </c>
      <c r="O6" s="74" t="str">
        <f>IF(Table_Custom_Input[[#This Row],[Measure Number]]&lt;&gt;"",Table_Custom_Input[[#This Row],[Total Equipment Cost]]+Table_Custom_Input[[#This Row],[Total Labor Cost]],"")</f>
        <v/>
      </c>
      <c r="P6" s="74" t="str">
        <f>IF(Table_Custom_Input[[#This Row],[Measure Number]]="","",Table_Custom_Input[[#This Row],[Gross Measure Cost]]-Table_Custom_Input[[#This Row],[Estimated Incentive]])</f>
        <v/>
      </c>
      <c r="Q6" s="75" t="str">
        <f>IFERROR(Refrigeration!$P6/Refrigeration!$N6, "")</f>
        <v/>
      </c>
      <c r="R6"/>
      <c r="S6"/>
      <c r="T6"/>
      <c r="U6"/>
    </row>
    <row r="7" spans="2:21" s="15" customFormat="1" ht="15" x14ac:dyDescent="0.2">
      <c r="B7" s="69">
        <v>2</v>
      </c>
      <c r="C7" s="69" t="str">
        <f>IFERROR(INDEX(Table_Prescript_Meas[Measure Number], MATCH(Table_Custom_Input[[#This Row],[Refrigeration Measure]], Table_Prescript_Meas[Measure Description], 0)), "")</f>
        <v/>
      </c>
      <c r="D7" s="61"/>
      <c r="E7" s="60"/>
      <c r="F7" s="69" t="str">
        <f>IFERROR(INDEX(Table_Prescript_Meas[Units], MATCH(Table_Custom_Input[[#This Row],[Measure Number]], Table_Prescript_Meas[Measure Number], 0)), "")</f>
        <v/>
      </c>
      <c r="G7" s="60"/>
      <c r="H7" s="73"/>
      <c r="I7" s="73"/>
      <c r="J7"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7" s="74" t="str">
        <f>IFERROR(Table_Custom_Input[[#This Row],[Number of Units]]*Table_Custom_Input[[#This Row],[Per-Unit Incentive]],"")</f>
        <v/>
      </c>
      <c r="L7" s="75" t="str">
        <f>IFERROR(Table_Custom_Input[[#This Row],[Number of Units]]*INDEX(Table_Prescript_Meas[Deemed kWh Savings], MATCH(Table_Custom_Input[[#This Row],[Measure Number]], Table_Prescript_Meas[Measure Number], 0)),"" )</f>
        <v/>
      </c>
      <c r="M7" s="81" t="str">
        <f>IFERROR(Table_Custom_Input[[#This Row],[Number of Units]]*INDEX(Table_Prescript_Meas[Deemed kW Savings], MATCH(Table_Custom_Input[[#This Row],[Measure Number]], Table_Prescript_Meas[Measure Number], 0)),"" )</f>
        <v/>
      </c>
      <c r="N7" s="74" t="str">
        <f>IFERROR(Table_Custom_Input[[#This Row],[Energy Savings (kWh)]]*Input_AvgkWhRate, "")</f>
        <v/>
      </c>
      <c r="O7" s="74" t="str">
        <f>IF(Table_Custom_Input[[#This Row],[Measure Number]]&lt;&gt;"",Table_Custom_Input[[#This Row],[Total Equipment Cost]]+Table_Custom_Input[[#This Row],[Total Labor Cost]],"")</f>
        <v/>
      </c>
      <c r="P7" s="74" t="str">
        <f>IF(Table_Custom_Input[[#This Row],[Measure Number]]="","",Table_Custom_Input[[#This Row],[Gross Measure Cost]]-Table_Custom_Input[[#This Row],[Estimated Incentive]])</f>
        <v/>
      </c>
      <c r="Q7" s="75" t="str">
        <f>IFERROR(Refrigeration!$P7/Refrigeration!$N7, "")</f>
        <v/>
      </c>
      <c r="R7"/>
      <c r="S7"/>
      <c r="T7"/>
      <c r="U7"/>
    </row>
    <row r="8" spans="2:21" s="15" customFormat="1" ht="15" x14ac:dyDescent="0.2">
      <c r="B8" s="69">
        <v>3</v>
      </c>
      <c r="C8" s="69" t="str">
        <f>IFERROR(INDEX(Table_Prescript_Meas[Measure Number], MATCH(Table_Custom_Input[[#This Row],[Refrigeration Measure]], Table_Prescript_Meas[Measure Description], 0)), "")</f>
        <v/>
      </c>
      <c r="D8" s="61"/>
      <c r="E8" s="60"/>
      <c r="F8" s="69" t="str">
        <f>IFERROR(INDEX(Table_Prescript_Meas[Units], MATCH(Table_Custom_Input[[#This Row],[Measure Number]], Table_Prescript_Meas[Measure Number], 0)), "")</f>
        <v/>
      </c>
      <c r="G8" s="60"/>
      <c r="H8" s="73"/>
      <c r="I8" s="73"/>
      <c r="J8"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8" s="74" t="str">
        <f>IFERROR(Table_Custom_Input[[#This Row],[Number of Units]]*Table_Custom_Input[[#This Row],[Per-Unit Incentive]],"")</f>
        <v/>
      </c>
      <c r="L8" s="75" t="str">
        <f>IFERROR(Table_Custom_Input[[#This Row],[Number of Units]]*INDEX(Table_Prescript_Meas[Deemed kWh Savings], MATCH(Table_Custom_Input[[#This Row],[Measure Number]], Table_Prescript_Meas[Measure Number], 0)),"" )</f>
        <v/>
      </c>
      <c r="M8" s="81" t="str">
        <f>IFERROR(Table_Custom_Input[[#This Row],[Number of Units]]*INDEX(Table_Prescript_Meas[Deemed kW Savings], MATCH(Table_Custom_Input[[#This Row],[Measure Number]], Table_Prescript_Meas[Measure Number], 0)),"" )</f>
        <v/>
      </c>
      <c r="N8" s="74" t="str">
        <f>IFERROR(Table_Custom_Input[[#This Row],[Energy Savings (kWh)]]*Input_AvgkWhRate, "")</f>
        <v/>
      </c>
      <c r="O8" s="74" t="str">
        <f>IF(Table_Custom_Input[[#This Row],[Measure Number]]&lt;&gt;"",Table_Custom_Input[[#This Row],[Total Equipment Cost]]+Table_Custom_Input[[#This Row],[Total Labor Cost]],"")</f>
        <v/>
      </c>
      <c r="P8" s="74" t="str">
        <f>IF(Table_Custom_Input[[#This Row],[Measure Number]]="","",Table_Custom_Input[[#This Row],[Gross Measure Cost]]-Table_Custom_Input[[#This Row],[Estimated Incentive]])</f>
        <v/>
      </c>
      <c r="Q8" s="75" t="str">
        <f>IFERROR(Refrigeration!$P8/Refrigeration!$N8, "")</f>
        <v/>
      </c>
      <c r="R8"/>
      <c r="S8"/>
      <c r="T8"/>
      <c r="U8"/>
    </row>
    <row r="9" spans="2:21" s="15" customFormat="1" ht="15" x14ac:dyDescent="0.2">
      <c r="B9" s="69">
        <v>4</v>
      </c>
      <c r="C9" s="69" t="str">
        <f>IFERROR(INDEX(Table_Prescript_Meas[Measure Number], MATCH(Table_Custom_Input[[#This Row],[Refrigeration Measure]], Table_Prescript_Meas[Measure Description], 0)), "")</f>
        <v/>
      </c>
      <c r="D9" s="61"/>
      <c r="E9" s="60"/>
      <c r="F9" s="69" t="str">
        <f>IFERROR(INDEX(Table_Prescript_Meas[Units], MATCH(Table_Custom_Input[[#This Row],[Measure Number]], Table_Prescript_Meas[Measure Number], 0)), "")</f>
        <v/>
      </c>
      <c r="G9" s="60"/>
      <c r="H9" s="73"/>
      <c r="I9" s="73"/>
      <c r="J9"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9" s="74" t="str">
        <f>IFERROR(Table_Custom_Input[[#This Row],[Number of Units]]*Table_Custom_Input[[#This Row],[Per-Unit Incentive]],"")</f>
        <v/>
      </c>
      <c r="L9" s="75" t="str">
        <f>IFERROR(Table_Custom_Input[[#This Row],[Number of Units]]*INDEX(Table_Prescript_Meas[Deemed kWh Savings], MATCH(Table_Custom_Input[[#This Row],[Measure Number]], Table_Prescript_Meas[Measure Number], 0)),"" )</f>
        <v/>
      </c>
      <c r="M9" s="81" t="str">
        <f>IFERROR(Table_Custom_Input[[#This Row],[Number of Units]]*INDEX(Table_Prescript_Meas[Deemed kW Savings], MATCH(Table_Custom_Input[[#This Row],[Measure Number]], Table_Prescript_Meas[Measure Number], 0)),"" )</f>
        <v/>
      </c>
      <c r="N9" s="74" t="str">
        <f>IFERROR(Table_Custom_Input[[#This Row],[Energy Savings (kWh)]]*Input_AvgkWhRate, "")</f>
        <v/>
      </c>
      <c r="O9" s="74" t="str">
        <f>IF(Table_Custom_Input[[#This Row],[Measure Number]]&lt;&gt;"",Table_Custom_Input[[#This Row],[Total Equipment Cost]]+Table_Custom_Input[[#This Row],[Total Labor Cost]],"")</f>
        <v/>
      </c>
      <c r="P9" s="74" t="str">
        <f>IF(Table_Custom_Input[[#This Row],[Measure Number]]="","",Table_Custom_Input[[#This Row],[Gross Measure Cost]]-Table_Custom_Input[[#This Row],[Estimated Incentive]])</f>
        <v/>
      </c>
      <c r="Q9" s="75" t="str">
        <f>IFERROR(Refrigeration!$P9/Refrigeration!$N9, "")</f>
        <v/>
      </c>
      <c r="R9"/>
      <c r="S9"/>
      <c r="T9"/>
      <c r="U9"/>
    </row>
    <row r="10" spans="2:21" s="15" customFormat="1" ht="15" x14ac:dyDescent="0.2">
      <c r="B10" s="69">
        <v>5</v>
      </c>
      <c r="C10" s="69" t="str">
        <f>IFERROR(INDEX(Table_Prescript_Meas[Measure Number], MATCH(Table_Custom_Input[[#This Row],[Refrigeration Measure]], Table_Prescript_Meas[Measure Description], 0)), "")</f>
        <v/>
      </c>
      <c r="D10" s="61"/>
      <c r="E10" s="60"/>
      <c r="F10" s="69" t="str">
        <f>IFERROR(INDEX(Table_Prescript_Meas[Units], MATCH(Table_Custom_Input[[#This Row],[Measure Number]], Table_Prescript_Meas[Measure Number], 0)), "")</f>
        <v/>
      </c>
      <c r="G10" s="60"/>
      <c r="H10" s="73"/>
      <c r="I10" s="73"/>
      <c r="J10"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10" s="74" t="str">
        <f>IFERROR(Table_Custom_Input[[#This Row],[Number of Units]]*Table_Custom_Input[[#This Row],[Per-Unit Incentive]],"")</f>
        <v/>
      </c>
      <c r="L10" s="75" t="str">
        <f>IFERROR(Table_Custom_Input[[#This Row],[Number of Units]]*INDEX(Table_Prescript_Meas[Deemed kWh Savings], MATCH(Table_Custom_Input[[#This Row],[Measure Number]], Table_Prescript_Meas[Measure Number], 0)),"" )</f>
        <v/>
      </c>
      <c r="M10" s="81" t="str">
        <f>IFERROR(Table_Custom_Input[[#This Row],[Number of Units]]*INDEX(Table_Prescript_Meas[Deemed kW Savings], MATCH(Table_Custom_Input[[#This Row],[Measure Number]], Table_Prescript_Meas[Measure Number], 0)),"" )</f>
        <v/>
      </c>
      <c r="N10" s="74" t="str">
        <f>IFERROR(Table_Custom_Input[[#This Row],[Energy Savings (kWh)]]*Input_AvgkWhRate, "")</f>
        <v/>
      </c>
      <c r="O10" s="74" t="str">
        <f>IF(Table_Custom_Input[[#This Row],[Measure Number]]&lt;&gt;"",Table_Custom_Input[[#This Row],[Total Equipment Cost]]+Table_Custom_Input[[#This Row],[Total Labor Cost]],"")</f>
        <v/>
      </c>
      <c r="P10" s="74" t="str">
        <f>IF(Table_Custom_Input[[#This Row],[Measure Number]]="","",Table_Custom_Input[[#This Row],[Gross Measure Cost]]-Table_Custom_Input[[#This Row],[Estimated Incentive]])</f>
        <v/>
      </c>
      <c r="Q10" s="75" t="str">
        <f>IFERROR(Refrigeration!$P10/Refrigeration!$N10, "")</f>
        <v/>
      </c>
      <c r="R10"/>
      <c r="S10"/>
      <c r="T10"/>
      <c r="U10"/>
    </row>
    <row r="11" spans="2:21" s="15" customFormat="1" ht="15" x14ac:dyDescent="0.2">
      <c r="B11" s="69">
        <v>6</v>
      </c>
      <c r="C11" s="69" t="str">
        <f>IFERROR(INDEX(Table_Prescript_Meas[Measure Number], MATCH(Table_Custom_Input[[#This Row],[Refrigeration Measure]], Table_Prescript_Meas[Measure Description], 0)), "")</f>
        <v/>
      </c>
      <c r="D11" s="61"/>
      <c r="E11" s="60"/>
      <c r="F11" s="69" t="str">
        <f>IFERROR(INDEX(Table_Prescript_Meas[Units], MATCH(Table_Custom_Input[[#This Row],[Measure Number]], Table_Prescript_Meas[Measure Number], 0)), "")</f>
        <v/>
      </c>
      <c r="G11" s="60"/>
      <c r="H11" s="73"/>
      <c r="I11" s="73"/>
      <c r="J11"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11" s="74" t="str">
        <f>IFERROR(Table_Custom_Input[[#This Row],[Number of Units]]*Table_Custom_Input[[#This Row],[Per-Unit Incentive]],"")</f>
        <v/>
      </c>
      <c r="L11" s="75" t="str">
        <f>IFERROR(Table_Custom_Input[[#This Row],[Number of Units]]*INDEX(Table_Prescript_Meas[Deemed kWh Savings], MATCH(Table_Custom_Input[[#This Row],[Measure Number]], Table_Prescript_Meas[Measure Number], 0)),"" )</f>
        <v/>
      </c>
      <c r="M11" s="81" t="str">
        <f>IFERROR(Table_Custom_Input[[#This Row],[Number of Units]]*INDEX(Table_Prescript_Meas[Deemed kW Savings], MATCH(Table_Custom_Input[[#This Row],[Measure Number]], Table_Prescript_Meas[Measure Number], 0)),"" )</f>
        <v/>
      </c>
      <c r="N11" s="74" t="str">
        <f>IFERROR(Table_Custom_Input[[#This Row],[Energy Savings (kWh)]]*Input_AvgkWhRate, "")</f>
        <v/>
      </c>
      <c r="O11" s="74" t="str">
        <f>IF(Table_Custom_Input[[#This Row],[Measure Number]]&lt;&gt;"",Table_Custom_Input[[#This Row],[Total Equipment Cost]]+Table_Custom_Input[[#This Row],[Total Labor Cost]],"")</f>
        <v/>
      </c>
      <c r="P11" s="74" t="str">
        <f>IF(Table_Custom_Input[[#This Row],[Measure Number]]="","",Table_Custom_Input[[#This Row],[Gross Measure Cost]]-Table_Custom_Input[[#This Row],[Estimated Incentive]])</f>
        <v/>
      </c>
      <c r="Q11" s="75" t="str">
        <f>IFERROR(Refrigeration!$P11/Refrigeration!$N11, "")</f>
        <v/>
      </c>
      <c r="R11"/>
      <c r="S11"/>
      <c r="T11"/>
      <c r="U11"/>
    </row>
    <row r="12" spans="2:21" s="15" customFormat="1" ht="15" x14ac:dyDescent="0.2">
      <c r="B12" s="69">
        <v>7</v>
      </c>
      <c r="C12" s="69" t="str">
        <f>IFERROR(INDEX(Table_Prescript_Meas[Measure Number], MATCH(Table_Custom_Input[[#This Row],[Refrigeration Measure]], Table_Prescript_Meas[Measure Description], 0)), "")</f>
        <v/>
      </c>
      <c r="D12" s="61"/>
      <c r="E12" s="60"/>
      <c r="F12" s="69" t="str">
        <f>IFERROR(INDEX(Table_Prescript_Meas[Units], MATCH(Table_Custom_Input[[#This Row],[Measure Number]], Table_Prescript_Meas[Measure Number], 0)), "")</f>
        <v/>
      </c>
      <c r="G12" s="60"/>
      <c r="H12" s="73"/>
      <c r="I12" s="73"/>
      <c r="J12"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12" s="74" t="str">
        <f>IFERROR(Table_Custom_Input[[#This Row],[Number of Units]]*Table_Custom_Input[[#This Row],[Per-Unit Incentive]],"")</f>
        <v/>
      </c>
      <c r="L12" s="75" t="str">
        <f>IFERROR(Table_Custom_Input[[#This Row],[Number of Units]]*INDEX(Table_Prescript_Meas[Deemed kWh Savings], MATCH(Table_Custom_Input[[#This Row],[Measure Number]], Table_Prescript_Meas[Measure Number], 0)),"" )</f>
        <v/>
      </c>
      <c r="M12" s="81" t="str">
        <f>IFERROR(Table_Custom_Input[[#This Row],[Number of Units]]*INDEX(Table_Prescript_Meas[Deemed kW Savings], MATCH(Table_Custom_Input[[#This Row],[Measure Number]], Table_Prescript_Meas[Measure Number], 0)),"" )</f>
        <v/>
      </c>
      <c r="N12" s="74" t="str">
        <f>IFERROR(Table_Custom_Input[[#This Row],[Energy Savings (kWh)]]*Input_AvgkWhRate, "")</f>
        <v/>
      </c>
      <c r="O12" s="74" t="str">
        <f>IF(Table_Custom_Input[[#This Row],[Measure Number]]&lt;&gt;"",Table_Custom_Input[[#This Row],[Total Equipment Cost]]+Table_Custom_Input[[#This Row],[Total Labor Cost]],"")</f>
        <v/>
      </c>
      <c r="P12" s="74" t="str">
        <f>IF(Table_Custom_Input[[#This Row],[Measure Number]]="","",Table_Custom_Input[[#This Row],[Gross Measure Cost]]-Table_Custom_Input[[#This Row],[Estimated Incentive]])</f>
        <v/>
      </c>
      <c r="Q12" s="75" t="str">
        <f>IFERROR(Refrigeration!$P12/Refrigeration!$N12, "")</f>
        <v/>
      </c>
      <c r="R12"/>
      <c r="S12"/>
      <c r="T12"/>
      <c r="U12"/>
    </row>
    <row r="13" spans="2:21" s="15" customFormat="1" ht="15" x14ac:dyDescent="0.2">
      <c r="B13" s="69">
        <v>8</v>
      </c>
      <c r="C13" s="69" t="str">
        <f>IFERROR(INDEX(Table_Prescript_Meas[Measure Number], MATCH(Table_Custom_Input[[#This Row],[Refrigeration Measure]], Table_Prescript_Meas[Measure Description], 0)), "")</f>
        <v/>
      </c>
      <c r="D13" s="61"/>
      <c r="E13" s="60"/>
      <c r="F13" s="69" t="str">
        <f>IFERROR(INDEX(Table_Prescript_Meas[Units], MATCH(Table_Custom_Input[[#This Row],[Measure Number]], Table_Prescript_Meas[Measure Number], 0)), "")</f>
        <v/>
      </c>
      <c r="G13" s="60"/>
      <c r="H13" s="73"/>
      <c r="I13" s="73"/>
      <c r="J13"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13" s="74" t="str">
        <f>IFERROR(Table_Custom_Input[[#This Row],[Number of Units]]*Table_Custom_Input[[#This Row],[Per-Unit Incentive]],"")</f>
        <v/>
      </c>
      <c r="L13" s="75" t="str">
        <f>IFERROR(Table_Custom_Input[[#This Row],[Number of Units]]*INDEX(Table_Prescript_Meas[Deemed kWh Savings], MATCH(Table_Custom_Input[[#This Row],[Measure Number]], Table_Prescript_Meas[Measure Number], 0)),"" )</f>
        <v/>
      </c>
      <c r="M13" s="81" t="str">
        <f>IFERROR(Table_Custom_Input[[#This Row],[Number of Units]]*INDEX(Table_Prescript_Meas[Deemed kW Savings], MATCH(Table_Custom_Input[[#This Row],[Measure Number]], Table_Prescript_Meas[Measure Number], 0)),"" )</f>
        <v/>
      </c>
      <c r="N13" s="74" t="str">
        <f>IFERROR(Table_Custom_Input[[#This Row],[Energy Savings (kWh)]]*Input_AvgkWhRate, "")</f>
        <v/>
      </c>
      <c r="O13" s="74" t="str">
        <f>IF(Table_Custom_Input[[#This Row],[Measure Number]]&lt;&gt;"",Table_Custom_Input[[#This Row],[Total Equipment Cost]]+Table_Custom_Input[[#This Row],[Total Labor Cost]],"")</f>
        <v/>
      </c>
      <c r="P13" s="74" t="str">
        <f>IF(Table_Custom_Input[[#This Row],[Measure Number]]="","",Table_Custom_Input[[#This Row],[Gross Measure Cost]]-Table_Custom_Input[[#This Row],[Estimated Incentive]])</f>
        <v/>
      </c>
      <c r="Q13" s="75" t="str">
        <f>IFERROR(Refrigeration!$P13/Refrigeration!$N13, "")</f>
        <v/>
      </c>
      <c r="R13"/>
      <c r="S13"/>
      <c r="T13"/>
      <c r="U13"/>
    </row>
    <row r="14" spans="2:21" s="15" customFormat="1" ht="15" x14ac:dyDescent="0.2">
      <c r="B14" s="69">
        <v>9</v>
      </c>
      <c r="C14" s="69" t="str">
        <f>IFERROR(INDEX(Table_Prescript_Meas[Measure Number], MATCH(Table_Custom_Input[[#This Row],[Refrigeration Measure]], Table_Prescript_Meas[Measure Description], 0)), "")</f>
        <v/>
      </c>
      <c r="D14" s="61"/>
      <c r="E14" s="60"/>
      <c r="F14" s="69" t="str">
        <f>IFERROR(INDEX(Table_Prescript_Meas[Units], MATCH(Table_Custom_Input[[#This Row],[Measure Number]], Table_Prescript_Meas[Measure Number], 0)), "")</f>
        <v/>
      </c>
      <c r="G14" s="60"/>
      <c r="H14" s="73"/>
      <c r="I14" s="73"/>
      <c r="J14"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14" s="74" t="str">
        <f>IFERROR(Table_Custom_Input[[#This Row],[Number of Units]]*Table_Custom_Input[[#This Row],[Per-Unit Incentive]],"")</f>
        <v/>
      </c>
      <c r="L14" s="75" t="str">
        <f>IFERROR(Table_Custom_Input[[#This Row],[Number of Units]]*INDEX(Table_Prescript_Meas[Deemed kWh Savings], MATCH(Table_Custom_Input[[#This Row],[Measure Number]], Table_Prescript_Meas[Measure Number], 0)),"" )</f>
        <v/>
      </c>
      <c r="M14" s="81" t="str">
        <f>IFERROR(Table_Custom_Input[[#This Row],[Number of Units]]*INDEX(Table_Prescript_Meas[Deemed kW Savings], MATCH(Table_Custom_Input[[#This Row],[Measure Number]], Table_Prescript_Meas[Measure Number], 0)),"" )</f>
        <v/>
      </c>
      <c r="N14" s="74" t="str">
        <f>IFERROR(Table_Custom_Input[[#This Row],[Energy Savings (kWh)]]*Input_AvgkWhRate, "")</f>
        <v/>
      </c>
      <c r="O14" s="74" t="str">
        <f>IF(Table_Custom_Input[[#This Row],[Measure Number]]&lt;&gt;"",Table_Custom_Input[[#This Row],[Total Equipment Cost]]+Table_Custom_Input[[#This Row],[Total Labor Cost]],"")</f>
        <v/>
      </c>
      <c r="P14" s="74" t="str">
        <f>IF(Table_Custom_Input[[#This Row],[Measure Number]]="","",Table_Custom_Input[[#This Row],[Gross Measure Cost]]-Table_Custom_Input[[#This Row],[Estimated Incentive]])</f>
        <v/>
      </c>
      <c r="Q14" s="75" t="str">
        <f>IFERROR(Refrigeration!$P14/Refrigeration!$N14, "")</f>
        <v/>
      </c>
      <c r="R14"/>
      <c r="S14"/>
      <c r="T14"/>
      <c r="U14"/>
    </row>
    <row r="15" spans="2:21" s="15" customFormat="1" ht="15" x14ac:dyDescent="0.2">
      <c r="B15" s="69">
        <v>10</v>
      </c>
      <c r="C15" s="69" t="str">
        <f>IFERROR(INDEX(Table_Prescript_Meas[Measure Number], MATCH(Table_Custom_Input[[#This Row],[Refrigeration Measure]], Table_Prescript_Meas[Measure Description], 0)), "")</f>
        <v/>
      </c>
      <c r="D15" s="61"/>
      <c r="E15" s="60"/>
      <c r="F15" s="69" t="str">
        <f>IFERROR(INDEX(Table_Prescript_Meas[Units], MATCH(Table_Custom_Input[[#This Row],[Measure Number]], Table_Prescript_Meas[Measure Number], 0)), "")</f>
        <v/>
      </c>
      <c r="G15" s="60"/>
      <c r="H15" s="73"/>
      <c r="I15" s="73"/>
      <c r="J15"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15" s="74" t="str">
        <f>IFERROR(Table_Custom_Input[[#This Row],[Number of Units]]*Table_Custom_Input[[#This Row],[Per-Unit Incentive]],"")</f>
        <v/>
      </c>
      <c r="L15" s="75" t="str">
        <f>IFERROR(Table_Custom_Input[[#This Row],[Number of Units]]*INDEX(Table_Prescript_Meas[Deemed kWh Savings], MATCH(Table_Custom_Input[[#This Row],[Measure Number]], Table_Prescript_Meas[Measure Number], 0)),"" )</f>
        <v/>
      </c>
      <c r="M15" s="81" t="str">
        <f>IFERROR(Table_Custom_Input[[#This Row],[Number of Units]]*INDEX(Table_Prescript_Meas[Deemed kW Savings], MATCH(Table_Custom_Input[[#This Row],[Measure Number]], Table_Prescript_Meas[Measure Number], 0)),"" )</f>
        <v/>
      </c>
      <c r="N15" s="74" t="str">
        <f>IFERROR(Table_Custom_Input[[#This Row],[Energy Savings (kWh)]]*Input_AvgkWhRate, "")</f>
        <v/>
      </c>
      <c r="O15" s="74" t="str">
        <f>IF(Table_Custom_Input[[#This Row],[Measure Number]]&lt;&gt;"",Table_Custom_Input[[#This Row],[Total Equipment Cost]]+Table_Custom_Input[[#This Row],[Total Labor Cost]],"")</f>
        <v/>
      </c>
      <c r="P15" s="74" t="str">
        <f>IF(Table_Custom_Input[[#This Row],[Measure Number]]="","",Table_Custom_Input[[#This Row],[Gross Measure Cost]]-Table_Custom_Input[[#This Row],[Estimated Incentive]])</f>
        <v/>
      </c>
      <c r="Q15" s="75" t="str">
        <f>IFERROR(Refrigeration!$P15/Refrigeration!$N15, "")</f>
        <v/>
      </c>
      <c r="R15"/>
      <c r="S15"/>
      <c r="T15"/>
      <c r="U15"/>
    </row>
    <row r="16" spans="2:21" s="15" customFormat="1" ht="15" x14ac:dyDescent="0.2">
      <c r="B16" s="69">
        <v>11</v>
      </c>
      <c r="C16" s="69" t="str">
        <f>IFERROR(INDEX(Table_Prescript_Meas[Measure Number], MATCH(Table_Custom_Input[[#This Row],[Refrigeration Measure]], Table_Prescript_Meas[Measure Description], 0)), "")</f>
        <v/>
      </c>
      <c r="D16" s="61"/>
      <c r="E16" s="60"/>
      <c r="F16" s="69" t="str">
        <f>IFERROR(INDEX(Table_Prescript_Meas[Units], MATCH(Table_Custom_Input[[#This Row],[Measure Number]], Table_Prescript_Meas[Measure Number], 0)), "")</f>
        <v/>
      </c>
      <c r="G16" s="60"/>
      <c r="H16" s="73"/>
      <c r="I16" s="73"/>
      <c r="J16"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16" s="74" t="str">
        <f>IFERROR(Table_Custom_Input[[#This Row],[Number of Units]]*Table_Custom_Input[[#This Row],[Per-Unit Incentive]],"")</f>
        <v/>
      </c>
      <c r="L16" s="75" t="str">
        <f>IFERROR(Table_Custom_Input[[#This Row],[Number of Units]]*INDEX(Table_Prescript_Meas[Deemed kWh Savings], MATCH(Table_Custom_Input[[#This Row],[Measure Number]], Table_Prescript_Meas[Measure Number], 0)),"" )</f>
        <v/>
      </c>
      <c r="M16" s="81" t="str">
        <f>IFERROR(Table_Custom_Input[[#This Row],[Number of Units]]*INDEX(Table_Prescript_Meas[Deemed kW Savings], MATCH(Table_Custom_Input[[#This Row],[Measure Number]], Table_Prescript_Meas[Measure Number], 0)),"" )</f>
        <v/>
      </c>
      <c r="N16" s="74" t="str">
        <f>IFERROR(Table_Custom_Input[[#This Row],[Energy Savings (kWh)]]*Input_AvgkWhRate, "")</f>
        <v/>
      </c>
      <c r="O16" s="74" t="str">
        <f>IF(Table_Custom_Input[[#This Row],[Measure Number]]&lt;&gt;"",Table_Custom_Input[[#This Row],[Total Equipment Cost]]+Table_Custom_Input[[#This Row],[Total Labor Cost]],"")</f>
        <v/>
      </c>
      <c r="P16" s="74" t="str">
        <f>IF(Table_Custom_Input[[#This Row],[Measure Number]]="","",Table_Custom_Input[[#This Row],[Gross Measure Cost]]-Table_Custom_Input[[#This Row],[Estimated Incentive]])</f>
        <v/>
      </c>
      <c r="Q16" s="75" t="str">
        <f>IFERROR(Refrigeration!$P16/Refrigeration!$N16, "")</f>
        <v/>
      </c>
      <c r="R16"/>
      <c r="S16"/>
      <c r="T16"/>
      <c r="U16"/>
    </row>
    <row r="17" spans="2:21" s="15" customFormat="1" ht="15" x14ac:dyDescent="0.2">
      <c r="B17" s="69">
        <v>12</v>
      </c>
      <c r="C17" s="69" t="str">
        <f>IFERROR(INDEX(Table_Prescript_Meas[Measure Number], MATCH(Table_Custom_Input[[#This Row],[Refrigeration Measure]], Table_Prescript_Meas[Measure Description], 0)), "")</f>
        <v/>
      </c>
      <c r="D17" s="61"/>
      <c r="E17" s="60"/>
      <c r="F17" s="69" t="str">
        <f>IFERROR(INDEX(Table_Prescript_Meas[Units], MATCH(Table_Custom_Input[[#This Row],[Measure Number]], Table_Prescript_Meas[Measure Number], 0)), "")</f>
        <v/>
      </c>
      <c r="G17" s="60"/>
      <c r="H17" s="73"/>
      <c r="I17" s="73"/>
      <c r="J17"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17" s="74" t="str">
        <f>IFERROR(Table_Custom_Input[[#This Row],[Number of Units]]*Table_Custom_Input[[#This Row],[Per-Unit Incentive]],"")</f>
        <v/>
      </c>
      <c r="L17" s="75" t="str">
        <f>IFERROR(Table_Custom_Input[[#This Row],[Number of Units]]*INDEX(Table_Prescript_Meas[Deemed kWh Savings], MATCH(Table_Custom_Input[[#This Row],[Measure Number]], Table_Prescript_Meas[Measure Number], 0)),"" )</f>
        <v/>
      </c>
      <c r="M17" s="81" t="str">
        <f>IFERROR(Table_Custom_Input[[#This Row],[Number of Units]]*INDEX(Table_Prescript_Meas[Deemed kW Savings], MATCH(Table_Custom_Input[[#This Row],[Measure Number]], Table_Prescript_Meas[Measure Number], 0)),"" )</f>
        <v/>
      </c>
      <c r="N17" s="74" t="str">
        <f>IFERROR(Table_Custom_Input[[#This Row],[Energy Savings (kWh)]]*Input_AvgkWhRate, "")</f>
        <v/>
      </c>
      <c r="O17" s="74" t="str">
        <f>IF(Table_Custom_Input[[#This Row],[Measure Number]]&lt;&gt;"",Table_Custom_Input[[#This Row],[Total Equipment Cost]]+Table_Custom_Input[[#This Row],[Total Labor Cost]],"")</f>
        <v/>
      </c>
      <c r="P17" s="74" t="str">
        <f>IF(Table_Custom_Input[[#This Row],[Measure Number]]="","",Table_Custom_Input[[#This Row],[Gross Measure Cost]]-Table_Custom_Input[[#This Row],[Estimated Incentive]])</f>
        <v/>
      </c>
      <c r="Q17" s="75" t="str">
        <f>IFERROR(Refrigeration!$P17/Refrigeration!$N17, "")</f>
        <v/>
      </c>
      <c r="R17"/>
      <c r="S17"/>
      <c r="T17"/>
      <c r="U17"/>
    </row>
    <row r="18" spans="2:21" s="15" customFormat="1" ht="15" x14ac:dyDescent="0.2">
      <c r="B18" s="69">
        <v>13</v>
      </c>
      <c r="C18" s="69" t="str">
        <f>IFERROR(INDEX(Table_Prescript_Meas[Measure Number], MATCH(Table_Custom_Input[[#This Row],[Refrigeration Measure]], Table_Prescript_Meas[Measure Description], 0)), "")</f>
        <v/>
      </c>
      <c r="D18" s="61"/>
      <c r="E18" s="60"/>
      <c r="F18" s="69" t="str">
        <f>IFERROR(INDEX(Table_Prescript_Meas[Units], MATCH(Table_Custom_Input[[#This Row],[Measure Number]], Table_Prescript_Meas[Measure Number], 0)), "")</f>
        <v/>
      </c>
      <c r="G18" s="60"/>
      <c r="H18" s="73"/>
      <c r="I18" s="73"/>
      <c r="J18"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18" s="74" t="str">
        <f>IFERROR(Table_Custom_Input[[#This Row],[Number of Units]]*Table_Custom_Input[[#This Row],[Per-Unit Incentive]],"")</f>
        <v/>
      </c>
      <c r="L18" s="75" t="str">
        <f>IFERROR(Table_Custom_Input[[#This Row],[Number of Units]]*INDEX(Table_Prescript_Meas[Deemed kWh Savings], MATCH(Table_Custom_Input[[#This Row],[Measure Number]], Table_Prescript_Meas[Measure Number], 0)),"" )</f>
        <v/>
      </c>
      <c r="M18" s="81" t="str">
        <f>IFERROR(Table_Custom_Input[[#This Row],[Number of Units]]*INDEX(Table_Prescript_Meas[Deemed kW Savings], MATCH(Table_Custom_Input[[#This Row],[Measure Number]], Table_Prescript_Meas[Measure Number], 0)),"" )</f>
        <v/>
      </c>
      <c r="N18" s="74" t="str">
        <f>IFERROR(Table_Custom_Input[[#This Row],[Energy Savings (kWh)]]*Input_AvgkWhRate, "")</f>
        <v/>
      </c>
      <c r="O18" s="74" t="str">
        <f>IF(Table_Custom_Input[[#This Row],[Measure Number]]&lt;&gt;"",Table_Custom_Input[[#This Row],[Total Equipment Cost]]+Table_Custom_Input[[#This Row],[Total Labor Cost]],"")</f>
        <v/>
      </c>
      <c r="P18" s="74" t="str">
        <f>IF(Table_Custom_Input[[#This Row],[Measure Number]]="","",Table_Custom_Input[[#This Row],[Gross Measure Cost]]-Table_Custom_Input[[#This Row],[Estimated Incentive]])</f>
        <v/>
      </c>
      <c r="Q18" s="75" t="str">
        <f>IFERROR(Refrigeration!$P18/Refrigeration!$N18, "")</f>
        <v/>
      </c>
      <c r="R18"/>
      <c r="S18"/>
      <c r="T18"/>
      <c r="U18"/>
    </row>
    <row r="19" spans="2:21" s="15" customFormat="1" ht="15" x14ac:dyDescent="0.2">
      <c r="B19" s="69">
        <v>14</v>
      </c>
      <c r="C19" s="69" t="str">
        <f>IFERROR(INDEX(Table_Prescript_Meas[Measure Number], MATCH(Table_Custom_Input[[#This Row],[Refrigeration Measure]], Table_Prescript_Meas[Measure Description], 0)), "")</f>
        <v/>
      </c>
      <c r="D19" s="61"/>
      <c r="E19" s="60"/>
      <c r="F19" s="69" t="str">
        <f>IFERROR(INDEX(Table_Prescript_Meas[Units], MATCH(Table_Custom_Input[[#This Row],[Measure Number]], Table_Prescript_Meas[Measure Number], 0)), "")</f>
        <v/>
      </c>
      <c r="G19" s="60"/>
      <c r="H19" s="73"/>
      <c r="I19" s="73"/>
      <c r="J19"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19" s="74" t="str">
        <f>IFERROR(Table_Custom_Input[[#This Row],[Number of Units]]*Table_Custom_Input[[#This Row],[Per-Unit Incentive]],"")</f>
        <v/>
      </c>
      <c r="L19" s="75" t="str">
        <f>IFERROR(Table_Custom_Input[[#This Row],[Number of Units]]*INDEX(Table_Prescript_Meas[Deemed kWh Savings], MATCH(Table_Custom_Input[[#This Row],[Measure Number]], Table_Prescript_Meas[Measure Number], 0)),"" )</f>
        <v/>
      </c>
      <c r="M19" s="81" t="str">
        <f>IFERROR(Table_Custom_Input[[#This Row],[Number of Units]]*INDEX(Table_Prescript_Meas[Deemed kW Savings], MATCH(Table_Custom_Input[[#This Row],[Measure Number]], Table_Prescript_Meas[Measure Number], 0)),"" )</f>
        <v/>
      </c>
      <c r="N19" s="74" t="str">
        <f>IFERROR(Table_Custom_Input[[#This Row],[Energy Savings (kWh)]]*Input_AvgkWhRate, "")</f>
        <v/>
      </c>
      <c r="O19" s="74" t="str">
        <f>IF(Table_Custom_Input[[#This Row],[Measure Number]]&lt;&gt;"",Table_Custom_Input[[#This Row],[Total Equipment Cost]]+Table_Custom_Input[[#This Row],[Total Labor Cost]],"")</f>
        <v/>
      </c>
      <c r="P19" s="74" t="str">
        <f>IF(Table_Custom_Input[[#This Row],[Measure Number]]="","",Table_Custom_Input[[#This Row],[Gross Measure Cost]]-Table_Custom_Input[[#This Row],[Estimated Incentive]])</f>
        <v/>
      </c>
      <c r="Q19" s="75" t="str">
        <f>IFERROR(Refrigeration!$P19/Refrigeration!$N19, "")</f>
        <v/>
      </c>
      <c r="R19"/>
      <c r="S19"/>
      <c r="T19"/>
      <c r="U19"/>
    </row>
    <row r="20" spans="2:21" s="15" customFormat="1" ht="15" x14ac:dyDescent="0.2">
      <c r="B20" s="69">
        <v>15</v>
      </c>
      <c r="C20" s="69" t="str">
        <f>IFERROR(INDEX(Table_Prescript_Meas[Measure Number], MATCH(Table_Custom_Input[[#This Row],[Refrigeration Measure]], Table_Prescript_Meas[Measure Description], 0)), "")</f>
        <v/>
      </c>
      <c r="D20" s="61"/>
      <c r="E20" s="60"/>
      <c r="F20" s="69" t="str">
        <f>IFERROR(INDEX(Table_Prescript_Meas[Units], MATCH(Table_Custom_Input[[#This Row],[Measure Number]], Table_Prescript_Meas[Measure Number], 0)), "")</f>
        <v/>
      </c>
      <c r="G20" s="60"/>
      <c r="H20" s="73"/>
      <c r="I20" s="73"/>
      <c r="J20"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20" s="74" t="str">
        <f>IFERROR(Table_Custom_Input[[#This Row],[Number of Units]]*Table_Custom_Input[[#This Row],[Per-Unit Incentive]],"")</f>
        <v/>
      </c>
      <c r="L20" s="75" t="str">
        <f>IFERROR(Table_Custom_Input[[#This Row],[Number of Units]]*INDEX(Table_Prescript_Meas[Deemed kWh Savings], MATCH(Table_Custom_Input[[#This Row],[Measure Number]], Table_Prescript_Meas[Measure Number], 0)),"" )</f>
        <v/>
      </c>
      <c r="M20" s="81" t="str">
        <f>IFERROR(Table_Custom_Input[[#This Row],[Number of Units]]*INDEX(Table_Prescript_Meas[Deemed kW Savings], MATCH(Table_Custom_Input[[#This Row],[Measure Number]], Table_Prescript_Meas[Measure Number], 0)),"" )</f>
        <v/>
      </c>
      <c r="N20" s="74" t="str">
        <f>IFERROR(Table_Custom_Input[[#This Row],[Energy Savings (kWh)]]*Input_AvgkWhRate, "")</f>
        <v/>
      </c>
      <c r="O20" s="74" t="str">
        <f>IF(Table_Custom_Input[[#This Row],[Measure Number]]&lt;&gt;"",Table_Custom_Input[[#This Row],[Total Equipment Cost]]+Table_Custom_Input[[#This Row],[Total Labor Cost]],"")</f>
        <v/>
      </c>
      <c r="P20" s="74" t="str">
        <f>IF(Table_Custom_Input[[#This Row],[Measure Number]]="","",Table_Custom_Input[[#This Row],[Gross Measure Cost]]-Table_Custom_Input[[#This Row],[Estimated Incentive]])</f>
        <v/>
      </c>
      <c r="Q20" s="75" t="str">
        <f>IFERROR(Refrigeration!$P20/Refrigeration!$N20, "")</f>
        <v/>
      </c>
      <c r="R20"/>
      <c r="S20"/>
      <c r="T20"/>
      <c r="U20"/>
    </row>
    <row r="21" spans="2:21" s="15" customFormat="1" ht="15" x14ac:dyDescent="0.2">
      <c r="B21" s="69">
        <v>16</v>
      </c>
      <c r="C21" s="69" t="str">
        <f>IFERROR(INDEX(Table_Prescript_Meas[Measure Number], MATCH(Table_Custom_Input[[#This Row],[Refrigeration Measure]], Table_Prescript_Meas[Measure Description], 0)), "")</f>
        <v/>
      </c>
      <c r="D21" s="61"/>
      <c r="E21" s="60"/>
      <c r="F21" s="69" t="str">
        <f>IFERROR(INDEX(Table_Prescript_Meas[Units], MATCH(Table_Custom_Input[[#This Row],[Measure Number]], Table_Prescript_Meas[Measure Number], 0)), "")</f>
        <v/>
      </c>
      <c r="G21" s="60"/>
      <c r="H21" s="73"/>
      <c r="I21" s="73"/>
      <c r="J21"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21" s="74" t="str">
        <f>IFERROR(Table_Custom_Input[[#This Row],[Number of Units]]*Table_Custom_Input[[#This Row],[Per-Unit Incentive]],"")</f>
        <v/>
      </c>
      <c r="L21" s="75" t="str">
        <f>IFERROR(Table_Custom_Input[[#This Row],[Number of Units]]*INDEX(Table_Prescript_Meas[Deemed kWh Savings], MATCH(Table_Custom_Input[[#This Row],[Measure Number]], Table_Prescript_Meas[Measure Number], 0)),"" )</f>
        <v/>
      </c>
      <c r="M21" s="81" t="str">
        <f>IFERROR(Table_Custom_Input[[#This Row],[Number of Units]]*INDEX(Table_Prescript_Meas[Deemed kW Savings], MATCH(Table_Custom_Input[[#This Row],[Measure Number]], Table_Prescript_Meas[Measure Number], 0)),"" )</f>
        <v/>
      </c>
      <c r="N21" s="74" t="str">
        <f>IFERROR(Table_Custom_Input[[#This Row],[Energy Savings (kWh)]]*Input_AvgkWhRate, "")</f>
        <v/>
      </c>
      <c r="O21" s="74" t="str">
        <f>IF(Table_Custom_Input[[#This Row],[Measure Number]]&lt;&gt;"",Table_Custom_Input[[#This Row],[Total Equipment Cost]]+Table_Custom_Input[[#This Row],[Total Labor Cost]],"")</f>
        <v/>
      </c>
      <c r="P21" s="74" t="str">
        <f>IF(Table_Custom_Input[[#This Row],[Measure Number]]="","",Table_Custom_Input[[#This Row],[Gross Measure Cost]]-Table_Custom_Input[[#This Row],[Estimated Incentive]])</f>
        <v/>
      </c>
      <c r="Q21" s="75" t="str">
        <f>IFERROR(Refrigeration!$P21/Refrigeration!$N21, "")</f>
        <v/>
      </c>
      <c r="R21"/>
      <c r="S21"/>
      <c r="T21"/>
      <c r="U21"/>
    </row>
    <row r="22" spans="2:21" s="15" customFormat="1" ht="15" x14ac:dyDescent="0.2">
      <c r="B22" s="69">
        <v>17</v>
      </c>
      <c r="C22" s="69" t="str">
        <f>IFERROR(INDEX(Table_Prescript_Meas[Measure Number], MATCH(Table_Custom_Input[[#This Row],[Refrigeration Measure]], Table_Prescript_Meas[Measure Description], 0)), "")</f>
        <v/>
      </c>
      <c r="D22" s="61"/>
      <c r="E22" s="60"/>
      <c r="F22" s="69" t="str">
        <f>IFERROR(INDEX(Table_Prescript_Meas[Units], MATCH(Table_Custom_Input[[#This Row],[Measure Number]], Table_Prescript_Meas[Measure Number], 0)), "")</f>
        <v/>
      </c>
      <c r="G22" s="60"/>
      <c r="H22" s="73"/>
      <c r="I22" s="73"/>
      <c r="J22"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22" s="74" t="str">
        <f>IFERROR(Table_Custom_Input[[#This Row],[Number of Units]]*Table_Custom_Input[[#This Row],[Per-Unit Incentive]],"")</f>
        <v/>
      </c>
      <c r="L22" s="75" t="str">
        <f>IFERROR(Table_Custom_Input[[#This Row],[Number of Units]]*INDEX(Table_Prescript_Meas[Deemed kWh Savings], MATCH(Table_Custom_Input[[#This Row],[Measure Number]], Table_Prescript_Meas[Measure Number], 0)),"" )</f>
        <v/>
      </c>
      <c r="M22" s="81" t="str">
        <f>IFERROR(Table_Custom_Input[[#This Row],[Number of Units]]*INDEX(Table_Prescript_Meas[Deemed kW Savings], MATCH(Table_Custom_Input[[#This Row],[Measure Number]], Table_Prescript_Meas[Measure Number], 0)),"" )</f>
        <v/>
      </c>
      <c r="N22" s="74" t="str">
        <f>IFERROR(Table_Custom_Input[[#This Row],[Energy Savings (kWh)]]*Input_AvgkWhRate, "")</f>
        <v/>
      </c>
      <c r="O22" s="74" t="str">
        <f>IF(Table_Custom_Input[[#This Row],[Measure Number]]&lt;&gt;"",Table_Custom_Input[[#This Row],[Total Equipment Cost]]+Table_Custom_Input[[#This Row],[Total Labor Cost]],"")</f>
        <v/>
      </c>
      <c r="P22" s="74" t="str">
        <f>IF(Table_Custom_Input[[#This Row],[Measure Number]]="","",Table_Custom_Input[[#This Row],[Gross Measure Cost]]-Table_Custom_Input[[#This Row],[Estimated Incentive]])</f>
        <v/>
      </c>
      <c r="Q22" s="75" t="str">
        <f>IFERROR(Refrigeration!$P22/Refrigeration!$N22, "")</f>
        <v/>
      </c>
      <c r="R22"/>
      <c r="S22"/>
      <c r="T22"/>
      <c r="U22"/>
    </row>
    <row r="23" spans="2:21" s="15" customFormat="1" ht="15" x14ac:dyDescent="0.2">
      <c r="B23" s="69">
        <v>18</v>
      </c>
      <c r="C23" s="69" t="str">
        <f>IFERROR(INDEX(Table_Prescript_Meas[Measure Number], MATCH(Table_Custom_Input[[#This Row],[Refrigeration Measure]], Table_Prescript_Meas[Measure Description], 0)), "")</f>
        <v/>
      </c>
      <c r="D23" s="61"/>
      <c r="E23" s="60"/>
      <c r="F23" s="69" t="str">
        <f>IFERROR(INDEX(Table_Prescript_Meas[Units], MATCH(Table_Custom_Input[[#This Row],[Measure Number]], Table_Prescript_Meas[Measure Number], 0)), "")</f>
        <v/>
      </c>
      <c r="G23" s="60"/>
      <c r="H23" s="73"/>
      <c r="I23" s="73"/>
      <c r="J23"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23" s="74" t="str">
        <f>IFERROR(Table_Custom_Input[[#This Row],[Number of Units]]*Table_Custom_Input[[#This Row],[Per-Unit Incentive]],"")</f>
        <v/>
      </c>
      <c r="L23" s="75" t="str">
        <f>IFERROR(Table_Custom_Input[[#This Row],[Number of Units]]*INDEX(Table_Prescript_Meas[Deemed kWh Savings], MATCH(Table_Custom_Input[[#This Row],[Measure Number]], Table_Prescript_Meas[Measure Number], 0)),"" )</f>
        <v/>
      </c>
      <c r="M23" s="81" t="str">
        <f>IFERROR(Table_Custom_Input[[#This Row],[Number of Units]]*INDEX(Table_Prescript_Meas[Deemed kW Savings], MATCH(Table_Custom_Input[[#This Row],[Measure Number]], Table_Prescript_Meas[Measure Number], 0)),"" )</f>
        <v/>
      </c>
      <c r="N23" s="74" t="str">
        <f>IFERROR(Table_Custom_Input[[#This Row],[Energy Savings (kWh)]]*Input_AvgkWhRate, "")</f>
        <v/>
      </c>
      <c r="O23" s="74" t="str">
        <f>IF(Table_Custom_Input[[#This Row],[Measure Number]]&lt;&gt;"",Table_Custom_Input[[#This Row],[Total Equipment Cost]]+Table_Custom_Input[[#This Row],[Total Labor Cost]],"")</f>
        <v/>
      </c>
      <c r="P23" s="74" t="str">
        <f>IF(Table_Custom_Input[[#This Row],[Measure Number]]="","",Table_Custom_Input[[#This Row],[Gross Measure Cost]]-Table_Custom_Input[[#This Row],[Estimated Incentive]])</f>
        <v/>
      </c>
      <c r="Q23" s="75" t="str">
        <f>IFERROR(Refrigeration!$P23/Refrigeration!$N23, "")</f>
        <v/>
      </c>
      <c r="R23"/>
      <c r="S23"/>
      <c r="T23"/>
      <c r="U23"/>
    </row>
    <row r="24" spans="2:21" s="15" customFormat="1" ht="15" x14ac:dyDescent="0.2">
      <c r="B24" s="69">
        <v>19</v>
      </c>
      <c r="C24" s="69" t="str">
        <f>IFERROR(INDEX(Table_Prescript_Meas[Measure Number], MATCH(Table_Custom_Input[[#This Row],[Refrigeration Measure]], Table_Prescript_Meas[Measure Description], 0)), "")</f>
        <v/>
      </c>
      <c r="D24" s="61"/>
      <c r="E24" s="60"/>
      <c r="F24" s="69" t="str">
        <f>IFERROR(INDEX(Table_Prescript_Meas[Units], MATCH(Table_Custom_Input[[#This Row],[Measure Number]], Table_Prescript_Meas[Measure Number], 0)), "")</f>
        <v/>
      </c>
      <c r="G24" s="60"/>
      <c r="H24" s="73"/>
      <c r="I24" s="73"/>
      <c r="J24"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24" s="74" t="str">
        <f>IFERROR(Table_Custom_Input[[#This Row],[Number of Units]]*Table_Custom_Input[[#This Row],[Per-Unit Incentive]],"")</f>
        <v/>
      </c>
      <c r="L24" s="75" t="str">
        <f>IFERROR(Table_Custom_Input[[#This Row],[Number of Units]]*INDEX(Table_Prescript_Meas[Deemed kWh Savings], MATCH(Table_Custom_Input[[#This Row],[Measure Number]], Table_Prescript_Meas[Measure Number], 0)),"" )</f>
        <v/>
      </c>
      <c r="M24" s="81" t="str">
        <f>IFERROR(Table_Custom_Input[[#This Row],[Number of Units]]*INDEX(Table_Prescript_Meas[Deemed kW Savings], MATCH(Table_Custom_Input[[#This Row],[Measure Number]], Table_Prescript_Meas[Measure Number], 0)),"" )</f>
        <v/>
      </c>
      <c r="N24" s="74" t="str">
        <f>IFERROR(Table_Custom_Input[[#This Row],[Energy Savings (kWh)]]*Input_AvgkWhRate, "")</f>
        <v/>
      </c>
      <c r="O24" s="74" t="str">
        <f>IF(Table_Custom_Input[[#This Row],[Measure Number]]&lt;&gt;"",Table_Custom_Input[[#This Row],[Total Equipment Cost]]+Table_Custom_Input[[#This Row],[Total Labor Cost]],"")</f>
        <v/>
      </c>
      <c r="P24" s="74" t="str">
        <f>IF(Table_Custom_Input[[#This Row],[Measure Number]]="","",Table_Custom_Input[[#This Row],[Gross Measure Cost]]-Table_Custom_Input[[#This Row],[Estimated Incentive]])</f>
        <v/>
      </c>
      <c r="Q24" s="75" t="str">
        <f>IFERROR(Refrigeration!$P24/Refrigeration!$N24, "")</f>
        <v/>
      </c>
      <c r="R24"/>
      <c r="S24"/>
      <c r="T24"/>
      <c r="U24"/>
    </row>
    <row r="25" spans="2:21" s="15" customFormat="1" ht="15" x14ac:dyDescent="0.2">
      <c r="B25" s="69">
        <v>20</v>
      </c>
      <c r="C25" s="69" t="str">
        <f>IFERROR(INDEX(Table_Prescript_Meas[Measure Number], MATCH(Table_Custom_Input[[#This Row],[Refrigeration Measure]], Table_Prescript_Meas[Measure Description], 0)), "")</f>
        <v/>
      </c>
      <c r="D25" s="61"/>
      <c r="E25" s="60"/>
      <c r="F25" s="69" t="str">
        <f>IFERROR(INDEX(Table_Prescript_Meas[Units], MATCH(Table_Custom_Input[[#This Row],[Measure Number]], Table_Prescript_Meas[Measure Number], 0)), "")</f>
        <v/>
      </c>
      <c r="G25" s="60"/>
      <c r="H25" s="73"/>
      <c r="I25" s="73"/>
      <c r="J25"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25" s="74" t="str">
        <f>IFERROR(Table_Custom_Input[[#This Row],[Number of Units]]*Table_Custom_Input[[#This Row],[Per-Unit Incentive]],"")</f>
        <v/>
      </c>
      <c r="L25" s="75" t="str">
        <f>IFERROR(Table_Custom_Input[[#This Row],[Number of Units]]*INDEX(Table_Prescript_Meas[Deemed kWh Savings], MATCH(Table_Custom_Input[[#This Row],[Measure Number]], Table_Prescript_Meas[Measure Number], 0)),"" )</f>
        <v/>
      </c>
      <c r="M25" s="81" t="str">
        <f>IFERROR(Table_Custom_Input[[#This Row],[Number of Units]]*INDEX(Table_Prescript_Meas[Deemed kW Savings], MATCH(Table_Custom_Input[[#This Row],[Measure Number]], Table_Prescript_Meas[Measure Number], 0)),"" )</f>
        <v/>
      </c>
      <c r="N25" s="74" t="str">
        <f>IFERROR(Table_Custom_Input[[#This Row],[Energy Savings (kWh)]]*Input_AvgkWhRate, "")</f>
        <v/>
      </c>
      <c r="O25" s="74" t="str">
        <f>IF(Table_Custom_Input[[#This Row],[Measure Number]]&lt;&gt;"",Table_Custom_Input[[#This Row],[Total Equipment Cost]]+Table_Custom_Input[[#This Row],[Total Labor Cost]],"")</f>
        <v/>
      </c>
      <c r="P25" s="74" t="str">
        <f>IF(Table_Custom_Input[[#This Row],[Measure Number]]="","",Table_Custom_Input[[#This Row],[Gross Measure Cost]]-Table_Custom_Input[[#This Row],[Estimated Incentive]])</f>
        <v/>
      </c>
      <c r="Q25" s="75" t="str">
        <f>IFERROR(Refrigeration!$P25/Refrigeration!$N25, "")</f>
        <v/>
      </c>
      <c r="R25"/>
      <c r="S25"/>
      <c r="T25"/>
      <c r="U25"/>
    </row>
    <row r="26" spans="2:21" s="15" customFormat="1" ht="15" x14ac:dyDescent="0.2">
      <c r="B26" s="69">
        <v>21</v>
      </c>
      <c r="C26" s="69" t="str">
        <f>IFERROR(INDEX(Table_Prescript_Meas[Measure Number], MATCH(Table_Custom_Input[[#This Row],[Refrigeration Measure]], Table_Prescript_Meas[Measure Description], 0)), "")</f>
        <v/>
      </c>
      <c r="D26" s="61"/>
      <c r="E26" s="60"/>
      <c r="F26" s="69" t="str">
        <f>IFERROR(INDEX(Table_Prescript_Meas[Units], MATCH(Table_Custom_Input[[#This Row],[Measure Number]], Table_Prescript_Meas[Measure Number], 0)), "")</f>
        <v/>
      </c>
      <c r="G26" s="60"/>
      <c r="H26" s="73"/>
      <c r="I26" s="73"/>
      <c r="J26"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26" s="74" t="str">
        <f>IFERROR(Table_Custom_Input[[#This Row],[Number of Units]]*Table_Custom_Input[[#This Row],[Per-Unit Incentive]],"")</f>
        <v/>
      </c>
      <c r="L26" s="75" t="str">
        <f>IFERROR(Table_Custom_Input[[#This Row],[Number of Units]]*INDEX(Table_Prescript_Meas[Deemed kWh Savings], MATCH(Table_Custom_Input[[#This Row],[Measure Number]], Table_Prescript_Meas[Measure Number], 0)),"" )</f>
        <v/>
      </c>
      <c r="M26" s="81" t="str">
        <f>IFERROR(Table_Custom_Input[[#This Row],[Number of Units]]*INDEX(Table_Prescript_Meas[Deemed kW Savings], MATCH(Table_Custom_Input[[#This Row],[Measure Number]], Table_Prescript_Meas[Measure Number], 0)),"" )</f>
        <v/>
      </c>
      <c r="N26" s="74" t="str">
        <f>IFERROR(Table_Custom_Input[[#This Row],[Energy Savings (kWh)]]*Input_AvgkWhRate, "")</f>
        <v/>
      </c>
      <c r="O26" s="74" t="str">
        <f>IF(Table_Custom_Input[[#This Row],[Measure Number]]&lt;&gt;"",Table_Custom_Input[[#This Row],[Total Equipment Cost]]+Table_Custom_Input[[#This Row],[Total Labor Cost]],"")</f>
        <v/>
      </c>
      <c r="P26" s="74" t="str">
        <f>IF(Table_Custom_Input[[#This Row],[Measure Number]]="","",Table_Custom_Input[[#This Row],[Gross Measure Cost]]-Table_Custom_Input[[#This Row],[Estimated Incentive]])</f>
        <v/>
      </c>
      <c r="Q26" s="75" t="str">
        <f>IFERROR(Refrigeration!$P26/Refrigeration!$N26, "")</f>
        <v/>
      </c>
      <c r="R26"/>
      <c r="S26"/>
      <c r="T26"/>
      <c r="U26"/>
    </row>
    <row r="27" spans="2:21" s="15" customFormat="1" ht="15" x14ac:dyDescent="0.2">
      <c r="B27" s="69">
        <v>22</v>
      </c>
      <c r="C27" s="69" t="str">
        <f>IFERROR(INDEX(Table_Prescript_Meas[Measure Number], MATCH(Table_Custom_Input[[#This Row],[Refrigeration Measure]], Table_Prescript_Meas[Measure Description], 0)), "")</f>
        <v/>
      </c>
      <c r="D27" s="61"/>
      <c r="E27" s="60"/>
      <c r="F27" s="69" t="str">
        <f>IFERROR(INDEX(Table_Prescript_Meas[Units], MATCH(Table_Custom_Input[[#This Row],[Measure Number]], Table_Prescript_Meas[Measure Number], 0)), "")</f>
        <v/>
      </c>
      <c r="G27" s="60"/>
      <c r="H27" s="73"/>
      <c r="I27" s="73"/>
      <c r="J27"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27" s="74" t="str">
        <f>IFERROR(Table_Custom_Input[[#This Row],[Number of Units]]*Table_Custom_Input[[#This Row],[Per-Unit Incentive]],"")</f>
        <v/>
      </c>
      <c r="L27" s="75" t="str">
        <f>IFERROR(Table_Custom_Input[[#This Row],[Number of Units]]*INDEX(Table_Prescript_Meas[Deemed kWh Savings], MATCH(Table_Custom_Input[[#This Row],[Measure Number]], Table_Prescript_Meas[Measure Number], 0)),"" )</f>
        <v/>
      </c>
      <c r="M27" s="81" t="str">
        <f>IFERROR(Table_Custom_Input[[#This Row],[Number of Units]]*INDEX(Table_Prescript_Meas[Deemed kW Savings], MATCH(Table_Custom_Input[[#This Row],[Measure Number]], Table_Prescript_Meas[Measure Number], 0)),"" )</f>
        <v/>
      </c>
      <c r="N27" s="74" t="str">
        <f>IFERROR(Table_Custom_Input[[#This Row],[Energy Savings (kWh)]]*Input_AvgkWhRate, "")</f>
        <v/>
      </c>
      <c r="O27" s="74" t="str">
        <f>IF(Table_Custom_Input[[#This Row],[Measure Number]]&lt;&gt;"",Table_Custom_Input[[#This Row],[Total Equipment Cost]]+Table_Custom_Input[[#This Row],[Total Labor Cost]],"")</f>
        <v/>
      </c>
      <c r="P27" s="74" t="str">
        <f>IF(Table_Custom_Input[[#This Row],[Measure Number]]="","",Table_Custom_Input[[#This Row],[Gross Measure Cost]]-Table_Custom_Input[[#This Row],[Estimated Incentive]])</f>
        <v/>
      </c>
      <c r="Q27" s="75" t="str">
        <f>IFERROR(Refrigeration!$P27/Refrigeration!$N27, "")</f>
        <v/>
      </c>
      <c r="R27"/>
      <c r="S27"/>
      <c r="T27"/>
      <c r="U27"/>
    </row>
    <row r="28" spans="2:21" s="15" customFormat="1" ht="15" x14ac:dyDescent="0.2">
      <c r="B28" s="69">
        <v>23</v>
      </c>
      <c r="C28" s="69" t="str">
        <f>IFERROR(INDEX(Table_Prescript_Meas[Measure Number], MATCH(Table_Custom_Input[[#This Row],[Refrigeration Measure]], Table_Prescript_Meas[Measure Description], 0)), "")</f>
        <v/>
      </c>
      <c r="D28" s="61"/>
      <c r="E28" s="60"/>
      <c r="F28" s="69" t="str">
        <f>IFERROR(INDEX(Table_Prescript_Meas[Units], MATCH(Table_Custom_Input[[#This Row],[Measure Number]], Table_Prescript_Meas[Measure Number], 0)), "")</f>
        <v/>
      </c>
      <c r="G28" s="60"/>
      <c r="H28" s="73"/>
      <c r="I28" s="73"/>
      <c r="J28"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28" s="74" t="str">
        <f>IFERROR(Table_Custom_Input[[#This Row],[Number of Units]]*Table_Custom_Input[[#This Row],[Per-Unit Incentive]],"")</f>
        <v/>
      </c>
      <c r="L28" s="75" t="str">
        <f>IFERROR(Table_Custom_Input[[#This Row],[Number of Units]]*INDEX(Table_Prescript_Meas[Deemed kWh Savings], MATCH(Table_Custom_Input[[#This Row],[Measure Number]], Table_Prescript_Meas[Measure Number], 0)),"" )</f>
        <v/>
      </c>
      <c r="M28" s="81" t="str">
        <f>IFERROR(Table_Custom_Input[[#This Row],[Number of Units]]*INDEX(Table_Prescript_Meas[Deemed kW Savings], MATCH(Table_Custom_Input[[#This Row],[Measure Number]], Table_Prescript_Meas[Measure Number], 0)),"" )</f>
        <v/>
      </c>
      <c r="N28" s="74" t="str">
        <f>IFERROR(Table_Custom_Input[[#This Row],[Energy Savings (kWh)]]*Input_AvgkWhRate, "")</f>
        <v/>
      </c>
      <c r="O28" s="74" t="str">
        <f>IF(Table_Custom_Input[[#This Row],[Measure Number]]&lt;&gt;"",Table_Custom_Input[[#This Row],[Total Equipment Cost]]+Table_Custom_Input[[#This Row],[Total Labor Cost]],"")</f>
        <v/>
      </c>
      <c r="P28" s="74" t="str">
        <f>IF(Table_Custom_Input[[#This Row],[Measure Number]]="","",Table_Custom_Input[[#This Row],[Gross Measure Cost]]-Table_Custom_Input[[#This Row],[Estimated Incentive]])</f>
        <v/>
      </c>
      <c r="Q28" s="75" t="str">
        <f>IFERROR(Refrigeration!$P28/Refrigeration!$N28, "")</f>
        <v/>
      </c>
      <c r="R28"/>
      <c r="S28"/>
      <c r="T28"/>
      <c r="U28"/>
    </row>
    <row r="29" spans="2:21" s="15" customFormat="1" ht="15" x14ac:dyDescent="0.2">
      <c r="B29" s="69">
        <v>24</v>
      </c>
      <c r="C29" s="69" t="str">
        <f>IFERROR(INDEX(Table_Prescript_Meas[Measure Number], MATCH(Table_Custom_Input[[#This Row],[Refrigeration Measure]], Table_Prescript_Meas[Measure Description], 0)), "")</f>
        <v/>
      </c>
      <c r="D29" s="61"/>
      <c r="E29" s="60"/>
      <c r="F29" s="69" t="str">
        <f>IFERROR(INDEX(Table_Prescript_Meas[Units], MATCH(Table_Custom_Input[[#This Row],[Measure Number]], Table_Prescript_Meas[Measure Number], 0)), "")</f>
        <v/>
      </c>
      <c r="G29" s="60"/>
      <c r="H29" s="73"/>
      <c r="I29" s="73"/>
      <c r="J29"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29" s="74" t="str">
        <f>IFERROR(Table_Custom_Input[[#This Row],[Number of Units]]*Table_Custom_Input[[#This Row],[Per-Unit Incentive]],"")</f>
        <v/>
      </c>
      <c r="L29" s="75" t="str">
        <f>IFERROR(Table_Custom_Input[[#This Row],[Number of Units]]*INDEX(Table_Prescript_Meas[Deemed kWh Savings], MATCH(Table_Custom_Input[[#This Row],[Measure Number]], Table_Prescript_Meas[Measure Number], 0)),"" )</f>
        <v/>
      </c>
      <c r="M29" s="81" t="str">
        <f>IFERROR(Table_Custom_Input[[#This Row],[Number of Units]]*INDEX(Table_Prescript_Meas[Deemed kW Savings], MATCH(Table_Custom_Input[[#This Row],[Measure Number]], Table_Prescript_Meas[Measure Number], 0)),"" )</f>
        <v/>
      </c>
      <c r="N29" s="74" t="str">
        <f>IFERROR(Table_Custom_Input[[#This Row],[Energy Savings (kWh)]]*Input_AvgkWhRate, "")</f>
        <v/>
      </c>
      <c r="O29" s="74" t="str">
        <f>IF(Table_Custom_Input[[#This Row],[Measure Number]]&lt;&gt;"",Table_Custom_Input[[#This Row],[Total Equipment Cost]]+Table_Custom_Input[[#This Row],[Total Labor Cost]],"")</f>
        <v/>
      </c>
      <c r="P29" s="74" t="str">
        <f>IF(Table_Custom_Input[[#This Row],[Measure Number]]="","",Table_Custom_Input[[#This Row],[Gross Measure Cost]]-Table_Custom_Input[[#This Row],[Estimated Incentive]])</f>
        <v/>
      </c>
      <c r="Q29" s="75" t="str">
        <f>IFERROR(Refrigeration!$P29/Refrigeration!$N29, "")</f>
        <v/>
      </c>
      <c r="R29"/>
      <c r="S29"/>
      <c r="T29"/>
      <c r="U29"/>
    </row>
    <row r="30" spans="2:21" s="15" customFormat="1" ht="15" x14ac:dyDescent="0.2">
      <c r="B30" s="69">
        <v>25</v>
      </c>
      <c r="C30" s="69" t="str">
        <f>IFERROR(INDEX(Table_Prescript_Meas[Measure Number], MATCH(Table_Custom_Input[[#This Row],[Refrigeration Measure]], Table_Prescript_Meas[Measure Description], 0)), "")</f>
        <v/>
      </c>
      <c r="D30" s="61"/>
      <c r="E30" s="60"/>
      <c r="F30" s="69" t="str">
        <f>IFERROR(INDEX(Table_Prescript_Meas[Units], MATCH(Table_Custom_Input[[#This Row],[Measure Number]], Table_Prescript_Meas[Measure Number], 0)), "")</f>
        <v/>
      </c>
      <c r="G30" s="60"/>
      <c r="H30" s="73"/>
      <c r="I30" s="73"/>
      <c r="J30"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30" s="74" t="str">
        <f>IFERROR(Table_Custom_Input[[#This Row],[Number of Units]]*Table_Custom_Input[[#This Row],[Per-Unit Incentive]],"")</f>
        <v/>
      </c>
      <c r="L30" s="75" t="str">
        <f>IFERROR(Table_Custom_Input[[#This Row],[Number of Units]]*INDEX(Table_Prescript_Meas[Deemed kWh Savings], MATCH(Table_Custom_Input[[#This Row],[Measure Number]], Table_Prescript_Meas[Measure Number], 0)),"" )</f>
        <v/>
      </c>
      <c r="M30" s="81" t="str">
        <f>IFERROR(Table_Custom_Input[[#This Row],[Number of Units]]*INDEX(Table_Prescript_Meas[Deemed kW Savings], MATCH(Table_Custom_Input[[#This Row],[Measure Number]], Table_Prescript_Meas[Measure Number], 0)),"" )</f>
        <v/>
      </c>
      <c r="N30" s="74" t="str">
        <f>IFERROR(Table_Custom_Input[[#This Row],[Energy Savings (kWh)]]*Input_AvgkWhRate, "")</f>
        <v/>
      </c>
      <c r="O30" s="74" t="str">
        <f>IF(Table_Custom_Input[[#This Row],[Measure Number]]&lt;&gt;"",Table_Custom_Input[[#This Row],[Total Equipment Cost]]+Table_Custom_Input[[#This Row],[Total Labor Cost]],"")</f>
        <v/>
      </c>
      <c r="P30" s="74" t="str">
        <f>IF(Table_Custom_Input[[#This Row],[Measure Number]]="","",Table_Custom_Input[[#This Row],[Gross Measure Cost]]-Table_Custom_Input[[#This Row],[Estimated Incentive]])</f>
        <v/>
      </c>
      <c r="Q30" s="75" t="str">
        <f>IFERROR(Refrigeration!$P30/Refrigeration!$N30, "")</f>
        <v/>
      </c>
      <c r="R30"/>
      <c r="S30"/>
      <c r="T30"/>
      <c r="U30"/>
    </row>
    <row r="31" spans="2:21" s="15" customFormat="1" ht="15" x14ac:dyDescent="0.2">
      <c r="B31" s="69">
        <v>26</v>
      </c>
      <c r="C31" s="69" t="str">
        <f>IFERROR(INDEX(Table_Prescript_Meas[Measure Number], MATCH(Table_Custom_Input[[#This Row],[Refrigeration Measure]], Table_Prescript_Meas[Measure Description], 0)), "")</f>
        <v/>
      </c>
      <c r="D31" s="61"/>
      <c r="E31" s="60"/>
      <c r="F31" s="69" t="str">
        <f>IFERROR(INDEX(Table_Prescript_Meas[Units], MATCH(Table_Custom_Input[[#This Row],[Measure Number]], Table_Prescript_Meas[Measure Number], 0)), "")</f>
        <v/>
      </c>
      <c r="G31" s="60"/>
      <c r="H31" s="73"/>
      <c r="I31" s="73"/>
      <c r="J31"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31" s="74" t="str">
        <f>IFERROR(Table_Custom_Input[[#This Row],[Number of Units]]*Table_Custom_Input[[#This Row],[Per-Unit Incentive]],"")</f>
        <v/>
      </c>
      <c r="L31" s="75" t="str">
        <f>IFERROR(Table_Custom_Input[[#This Row],[Number of Units]]*INDEX(Table_Prescript_Meas[Deemed kWh Savings], MATCH(Table_Custom_Input[[#This Row],[Measure Number]], Table_Prescript_Meas[Measure Number], 0)),"" )</f>
        <v/>
      </c>
      <c r="M31" s="81" t="str">
        <f>IFERROR(Table_Custom_Input[[#This Row],[Number of Units]]*INDEX(Table_Prescript_Meas[Deemed kW Savings], MATCH(Table_Custom_Input[[#This Row],[Measure Number]], Table_Prescript_Meas[Measure Number], 0)),"" )</f>
        <v/>
      </c>
      <c r="N31" s="74" t="str">
        <f>IFERROR(Table_Custom_Input[[#This Row],[Energy Savings (kWh)]]*Input_AvgkWhRate, "")</f>
        <v/>
      </c>
      <c r="O31" s="74" t="str">
        <f>IF(Table_Custom_Input[[#This Row],[Measure Number]]&lt;&gt;"",Table_Custom_Input[[#This Row],[Total Equipment Cost]]+Table_Custom_Input[[#This Row],[Total Labor Cost]],"")</f>
        <v/>
      </c>
      <c r="P31" s="74" t="str">
        <f>IF(Table_Custom_Input[[#This Row],[Measure Number]]="","",Table_Custom_Input[[#This Row],[Gross Measure Cost]]-Table_Custom_Input[[#This Row],[Estimated Incentive]])</f>
        <v/>
      </c>
      <c r="Q31" s="75" t="str">
        <f>IFERROR(Refrigeration!$P31/Refrigeration!$N31, "")</f>
        <v/>
      </c>
      <c r="R31"/>
      <c r="S31"/>
      <c r="T31"/>
      <c r="U31"/>
    </row>
    <row r="32" spans="2:21" s="15" customFormat="1" ht="15" x14ac:dyDescent="0.2">
      <c r="B32" s="69">
        <v>27</v>
      </c>
      <c r="C32" s="69" t="str">
        <f>IFERROR(INDEX(Table_Prescript_Meas[Measure Number], MATCH(Table_Custom_Input[[#This Row],[Refrigeration Measure]], Table_Prescript_Meas[Measure Description], 0)), "")</f>
        <v/>
      </c>
      <c r="D32" s="61"/>
      <c r="E32" s="60"/>
      <c r="F32" s="69" t="str">
        <f>IFERROR(INDEX(Table_Prescript_Meas[Units], MATCH(Table_Custom_Input[[#This Row],[Measure Number]], Table_Prescript_Meas[Measure Number], 0)), "")</f>
        <v/>
      </c>
      <c r="G32" s="60"/>
      <c r="H32" s="73"/>
      <c r="I32" s="73"/>
      <c r="J32"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32" s="74" t="str">
        <f>IFERROR(Table_Custom_Input[[#This Row],[Number of Units]]*Table_Custom_Input[[#This Row],[Per-Unit Incentive]],"")</f>
        <v/>
      </c>
      <c r="L32" s="75" t="str">
        <f>IFERROR(Table_Custom_Input[[#This Row],[Number of Units]]*INDEX(Table_Prescript_Meas[Deemed kWh Savings], MATCH(Table_Custom_Input[[#This Row],[Measure Number]], Table_Prescript_Meas[Measure Number], 0)),"" )</f>
        <v/>
      </c>
      <c r="M32" s="81" t="str">
        <f>IFERROR(Table_Custom_Input[[#This Row],[Number of Units]]*INDEX(Table_Prescript_Meas[Deemed kW Savings], MATCH(Table_Custom_Input[[#This Row],[Measure Number]], Table_Prescript_Meas[Measure Number], 0)),"" )</f>
        <v/>
      </c>
      <c r="N32" s="74" t="str">
        <f>IFERROR(Table_Custom_Input[[#This Row],[Energy Savings (kWh)]]*Input_AvgkWhRate, "")</f>
        <v/>
      </c>
      <c r="O32" s="74" t="str">
        <f>IF(Table_Custom_Input[[#This Row],[Measure Number]]&lt;&gt;"",Table_Custom_Input[[#This Row],[Total Equipment Cost]]+Table_Custom_Input[[#This Row],[Total Labor Cost]],"")</f>
        <v/>
      </c>
      <c r="P32" s="74" t="str">
        <f>IF(Table_Custom_Input[[#This Row],[Measure Number]]="","",Table_Custom_Input[[#This Row],[Gross Measure Cost]]-Table_Custom_Input[[#This Row],[Estimated Incentive]])</f>
        <v/>
      </c>
      <c r="Q32" s="75" t="str">
        <f>IFERROR(Refrigeration!$P32/Refrigeration!$N32, "")</f>
        <v/>
      </c>
      <c r="R32"/>
      <c r="S32"/>
      <c r="T32"/>
      <c r="U32"/>
    </row>
    <row r="33" spans="2:21" s="15" customFormat="1" ht="15" x14ac:dyDescent="0.2">
      <c r="B33" s="69">
        <v>28</v>
      </c>
      <c r="C33" s="69" t="str">
        <f>IFERROR(INDEX(Table_Prescript_Meas[Measure Number], MATCH(Table_Custom_Input[[#This Row],[Refrigeration Measure]], Table_Prescript_Meas[Measure Description], 0)), "")</f>
        <v/>
      </c>
      <c r="D33" s="61"/>
      <c r="E33" s="60"/>
      <c r="F33" s="69" t="str">
        <f>IFERROR(INDEX(Table_Prescript_Meas[Units], MATCH(Table_Custom_Input[[#This Row],[Measure Number]], Table_Prescript_Meas[Measure Number], 0)), "")</f>
        <v/>
      </c>
      <c r="G33" s="60"/>
      <c r="H33" s="73"/>
      <c r="I33" s="73"/>
      <c r="J33"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33" s="74" t="str">
        <f>IFERROR(Table_Custom_Input[[#This Row],[Number of Units]]*Table_Custom_Input[[#This Row],[Per-Unit Incentive]],"")</f>
        <v/>
      </c>
      <c r="L33" s="75" t="str">
        <f>IFERROR(Table_Custom_Input[[#This Row],[Number of Units]]*INDEX(Table_Prescript_Meas[Deemed kWh Savings], MATCH(Table_Custom_Input[[#This Row],[Measure Number]], Table_Prescript_Meas[Measure Number], 0)),"" )</f>
        <v/>
      </c>
      <c r="M33" s="81" t="str">
        <f>IFERROR(Table_Custom_Input[[#This Row],[Number of Units]]*INDEX(Table_Prescript_Meas[Deemed kW Savings], MATCH(Table_Custom_Input[[#This Row],[Measure Number]], Table_Prescript_Meas[Measure Number], 0)),"" )</f>
        <v/>
      </c>
      <c r="N33" s="74" t="str">
        <f>IFERROR(Table_Custom_Input[[#This Row],[Energy Savings (kWh)]]*Input_AvgkWhRate, "")</f>
        <v/>
      </c>
      <c r="O33" s="74" t="str">
        <f>IF(Table_Custom_Input[[#This Row],[Measure Number]]&lt;&gt;"",Table_Custom_Input[[#This Row],[Total Equipment Cost]]+Table_Custom_Input[[#This Row],[Total Labor Cost]],"")</f>
        <v/>
      </c>
      <c r="P33" s="74" t="str">
        <f>IF(Table_Custom_Input[[#This Row],[Measure Number]]="","",Table_Custom_Input[[#This Row],[Gross Measure Cost]]-Table_Custom_Input[[#This Row],[Estimated Incentive]])</f>
        <v/>
      </c>
      <c r="Q33" s="75" t="str">
        <f>IFERROR(Refrigeration!$P33/Refrigeration!$N33, "")</f>
        <v/>
      </c>
      <c r="R33"/>
      <c r="S33"/>
      <c r="T33"/>
      <c r="U33"/>
    </row>
    <row r="34" spans="2:21" s="15" customFormat="1" ht="15" x14ac:dyDescent="0.2">
      <c r="B34" s="69">
        <v>29</v>
      </c>
      <c r="C34" s="69" t="str">
        <f>IFERROR(INDEX(Table_Prescript_Meas[Measure Number], MATCH(Table_Custom_Input[[#This Row],[Refrigeration Measure]], Table_Prescript_Meas[Measure Description], 0)), "")</f>
        <v/>
      </c>
      <c r="D34" s="61"/>
      <c r="E34" s="60"/>
      <c r="F34" s="69" t="str">
        <f>IFERROR(INDEX(Table_Prescript_Meas[Units], MATCH(Table_Custom_Input[[#This Row],[Measure Number]], Table_Prescript_Meas[Measure Number], 0)), "")</f>
        <v/>
      </c>
      <c r="G34" s="60"/>
      <c r="H34" s="73"/>
      <c r="I34" s="73"/>
      <c r="J34"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34" s="74" t="str">
        <f>IFERROR(Table_Custom_Input[[#This Row],[Number of Units]]*Table_Custom_Input[[#This Row],[Per-Unit Incentive]],"")</f>
        <v/>
      </c>
      <c r="L34" s="75" t="str">
        <f>IFERROR(Table_Custom_Input[[#This Row],[Number of Units]]*INDEX(Table_Prescript_Meas[Deemed kWh Savings], MATCH(Table_Custom_Input[[#This Row],[Measure Number]], Table_Prescript_Meas[Measure Number], 0)),"" )</f>
        <v/>
      </c>
      <c r="M34" s="81" t="str">
        <f>IFERROR(Table_Custom_Input[[#This Row],[Number of Units]]*INDEX(Table_Prescript_Meas[Deemed kW Savings], MATCH(Table_Custom_Input[[#This Row],[Measure Number]], Table_Prescript_Meas[Measure Number], 0)),"" )</f>
        <v/>
      </c>
      <c r="N34" s="74" t="str">
        <f>IFERROR(Table_Custom_Input[[#This Row],[Energy Savings (kWh)]]*Input_AvgkWhRate, "")</f>
        <v/>
      </c>
      <c r="O34" s="74" t="str">
        <f>IF(Table_Custom_Input[[#This Row],[Measure Number]]&lt;&gt;"",Table_Custom_Input[[#This Row],[Total Equipment Cost]]+Table_Custom_Input[[#This Row],[Total Labor Cost]],"")</f>
        <v/>
      </c>
      <c r="P34" s="74" t="str">
        <f>IF(Table_Custom_Input[[#This Row],[Measure Number]]="","",Table_Custom_Input[[#This Row],[Gross Measure Cost]]-Table_Custom_Input[[#This Row],[Estimated Incentive]])</f>
        <v/>
      </c>
      <c r="Q34" s="75" t="str">
        <f>IFERROR(Refrigeration!$P34/Refrigeration!$N34, "")</f>
        <v/>
      </c>
      <c r="R34"/>
      <c r="S34"/>
      <c r="T34"/>
      <c r="U34"/>
    </row>
    <row r="35" spans="2:21" s="15" customFormat="1" ht="15" x14ac:dyDescent="0.2">
      <c r="B35" s="69">
        <v>30</v>
      </c>
      <c r="C35" s="69" t="str">
        <f>IFERROR(INDEX(Table_Prescript_Meas[Measure Number], MATCH(Table_Custom_Input[[#This Row],[Refrigeration Measure]], Table_Prescript_Meas[Measure Description], 0)), "")</f>
        <v/>
      </c>
      <c r="D35" s="61"/>
      <c r="E35" s="60"/>
      <c r="F35" s="69" t="str">
        <f>IFERROR(INDEX(Table_Prescript_Meas[Units], MATCH(Table_Custom_Input[[#This Row],[Measure Number]], Table_Prescript_Meas[Measure Number], 0)), "")</f>
        <v/>
      </c>
      <c r="G35" s="60"/>
      <c r="H35" s="73"/>
      <c r="I35" s="73"/>
      <c r="J35"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35" s="74" t="str">
        <f>IFERROR(Table_Custom_Input[[#This Row],[Number of Units]]*Table_Custom_Input[[#This Row],[Per-Unit Incentive]],"")</f>
        <v/>
      </c>
      <c r="L35" s="75" t="str">
        <f>IFERROR(Table_Custom_Input[[#This Row],[Number of Units]]*INDEX(Table_Prescript_Meas[Deemed kWh Savings], MATCH(Table_Custom_Input[[#This Row],[Measure Number]], Table_Prescript_Meas[Measure Number], 0)),"" )</f>
        <v/>
      </c>
      <c r="M35" s="81" t="str">
        <f>IFERROR(Table_Custom_Input[[#This Row],[Number of Units]]*INDEX(Table_Prescript_Meas[Deemed kW Savings], MATCH(Table_Custom_Input[[#This Row],[Measure Number]], Table_Prescript_Meas[Measure Number], 0)),"" )</f>
        <v/>
      </c>
      <c r="N35" s="74" t="str">
        <f>IFERROR(Table_Custom_Input[[#This Row],[Energy Savings (kWh)]]*Input_AvgkWhRate, "")</f>
        <v/>
      </c>
      <c r="O35" s="74" t="str">
        <f>IF(Table_Custom_Input[[#This Row],[Measure Number]]&lt;&gt;"",Table_Custom_Input[[#This Row],[Total Equipment Cost]]+Table_Custom_Input[[#This Row],[Total Labor Cost]],"")</f>
        <v/>
      </c>
      <c r="P35" s="74" t="str">
        <f>IF(Table_Custom_Input[[#This Row],[Measure Number]]="","",Table_Custom_Input[[#This Row],[Gross Measure Cost]]-Table_Custom_Input[[#This Row],[Estimated Incentive]])</f>
        <v/>
      </c>
      <c r="Q35" s="75" t="str">
        <f>IFERROR(Refrigeration!$P35/Refrigeration!$N35, "")</f>
        <v/>
      </c>
      <c r="R35"/>
      <c r="S35"/>
      <c r="T35"/>
      <c r="U35"/>
    </row>
    <row r="36" spans="2:21" s="15" customFormat="1" ht="15" x14ac:dyDescent="0.2">
      <c r="B36" s="69">
        <v>31</v>
      </c>
      <c r="C36" s="69" t="str">
        <f>IFERROR(INDEX(Table_Prescript_Meas[Measure Number], MATCH(Table_Custom_Input[[#This Row],[Refrigeration Measure]], Table_Prescript_Meas[Measure Description], 0)), "")</f>
        <v/>
      </c>
      <c r="D36" s="61"/>
      <c r="E36" s="60"/>
      <c r="F36" s="69" t="str">
        <f>IFERROR(INDEX(Table_Prescript_Meas[Units], MATCH(Table_Custom_Input[[#This Row],[Measure Number]], Table_Prescript_Meas[Measure Number], 0)), "")</f>
        <v/>
      </c>
      <c r="G36" s="60"/>
      <c r="H36" s="73"/>
      <c r="I36" s="73"/>
      <c r="J36"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36" s="74" t="str">
        <f>IFERROR(Table_Custom_Input[[#This Row],[Number of Units]]*Table_Custom_Input[[#This Row],[Per-Unit Incentive]],"")</f>
        <v/>
      </c>
      <c r="L36" s="75" t="str">
        <f>IFERROR(Table_Custom_Input[[#This Row],[Number of Units]]*INDEX(Table_Prescript_Meas[Deemed kWh Savings], MATCH(Table_Custom_Input[[#This Row],[Measure Number]], Table_Prescript_Meas[Measure Number], 0)),"" )</f>
        <v/>
      </c>
      <c r="M36" s="81" t="str">
        <f>IFERROR(Table_Custom_Input[[#This Row],[Number of Units]]*INDEX(Table_Prescript_Meas[Deemed kW Savings], MATCH(Table_Custom_Input[[#This Row],[Measure Number]], Table_Prescript_Meas[Measure Number], 0)),"" )</f>
        <v/>
      </c>
      <c r="N36" s="74" t="str">
        <f>IFERROR(Table_Custom_Input[[#This Row],[Energy Savings (kWh)]]*Input_AvgkWhRate, "")</f>
        <v/>
      </c>
      <c r="O36" s="74" t="str">
        <f>IF(Table_Custom_Input[[#This Row],[Measure Number]]&lt;&gt;"",Table_Custom_Input[[#This Row],[Total Equipment Cost]]+Table_Custom_Input[[#This Row],[Total Labor Cost]],"")</f>
        <v/>
      </c>
      <c r="P36" s="74" t="str">
        <f>IF(Table_Custom_Input[[#This Row],[Measure Number]]="","",Table_Custom_Input[[#This Row],[Gross Measure Cost]]-Table_Custom_Input[[#This Row],[Estimated Incentive]])</f>
        <v/>
      </c>
      <c r="Q36" s="75" t="str">
        <f>IFERROR(Refrigeration!$P36/Refrigeration!$N36, "")</f>
        <v/>
      </c>
      <c r="R36"/>
      <c r="S36"/>
      <c r="T36"/>
      <c r="U36"/>
    </row>
    <row r="37" spans="2:21" s="15" customFormat="1" ht="15" x14ac:dyDescent="0.2">
      <c r="B37" s="69">
        <v>32</v>
      </c>
      <c r="C37" s="69" t="str">
        <f>IFERROR(INDEX(Table_Prescript_Meas[Measure Number], MATCH(Table_Custom_Input[[#This Row],[Refrigeration Measure]], Table_Prescript_Meas[Measure Description], 0)), "")</f>
        <v/>
      </c>
      <c r="D37" s="61"/>
      <c r="E37" s="60"/>
      <c r="F37" s="69" t="str">
        <f>IFERROR(INDEX(Table_Prescript_Meas[Units], MATCH(Table_Custom_Input[[#This Row],[Measure Number]], Table_Prescript_Meas[Measure Number], 0)), "")</f>
        <v/>
      </c>
      <c r="G37" s="60"/>
      <c r="H37" s="73"/>
      <c r="I37" s="73"/>
      <c r="J37"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37" s="74" t="str">
        <f>IFERROR(Table_Custom_Input[[#This Row],[Number of Units]]*Table_Custom_Input[[#This Row],[Per-Unit Incentive]],"")</f>
        <v/>
      </c>
      <c r="L37" s="75" t="str">
        <f>IFERROR(Table_Custom_Input[[#This Row],[Number of Units]]*INDEX(Table_Prescript_Meas[Deemed kWh Savings], MATCH(Table_Custom_Input[[#This Row],[Measure Number]], Table_Prescript_Meas[Measure Number], 0)),"" )</f>
        <v/>
      </c>
      <c r="M37" s="81" t="str">
        <f>IFERROR(Table_Custom_Input[[#This Row],[Number of Units]]*INDEX(Table_Prescript_Meas[Deemed kW Savings], MATCH(Table_Custom_Input[[#This Row],[Measure Number]], Table_Prescript_Meas[Measure Number], 0)),"" )</f>
        <v/>
      </c>
      <c r="N37" s="74" t="str">
        <f>IFERROR(Table_Custom_Input[[#This Row],[Energy Savings (kWh)]]*Input_AvgkWhRate, "")</f>
        <v/>
      </c>
      <c r="O37" s="74" t="str">
        <f>IF(Table_Custom_Input[[#This Row],[Measure Number]]&lt;&gt;"",Table_Custom_Input[[#This Row],[Total Equipment Cost]]+Table_Custom_Input[[#This Row],[Total Labor Cost]],"")</f>
        <v/>
      </c>
      <c r="P37" s="74" t="str">
        <f>IF(Table_Custom_Input[[#This Row],[Measure Number]]="","",Table_Custom_Input[[#This Row],[Gross Measure Cost]]-Table_Custom_Input[[#This Row],[Estimated Incentive]])</f>
        <v/>
      </c>
      <c r="Q37" s="75" t="str">
        <f>IFERROR(Refrigeration!$P37/Refrigeration!$N37, "")</f>
        <v/>
      </c>
      <c r="R37"/>
      <c r="S37"/>
      <c r="T37"/>
      <c r="U37"/>
    </row>
    <row r="38" spans="2:21" s="15" customFormat="1" ht="15" x14ac:dyDescent="0.2">
      <c r="B38" s="69">
        <v>33</v>
      </c>
      <c r="C38" s="69" t="str">
        <f>IFERROR(INDEX(Table_Prescript_Meas[Measure Number], MATCH(Table_Custom_Input[[#This Row],[Refrigeration Measure]], Table_Prescript_Meas[Measure Description], 0)), "")</f>
        <v/>
      </c>
      <c r="D38" s="61"/>
      <c r="E38" s="60"/>
      <c r="F38" s="69" t="str">
        <f>IFERROR(INDEX(Table_Prescript_Meas[Units], MATCH(Table_Custom_Input[[#This Row],[Measure Number]], Table_Prescript_Meas[Measure Number], 0)), "")</f>
        <v/>
      </c>
      <c r="G38" s="60"/>
      <c r="H38" s="73"/>
      <c r="I38" s="73"/>
      <c r="J38"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38" s="74" t="str">
        <f>IFERROR(Table_Custom_Input[[#This Row],[Number of Units]]*Table_Custom_Input[[#This Row],[Per-Unit Incentive]],"")</f>
        <v/>
      </c>
      <c r="L38" s="75" t="str">
        <f>IFERROR(Table_Custom_Input[[#This Row],[Number of Units]]*INDEX(Table_Prescript_Meas[Deemed kWh Savings], MATCH(Table_Custom_Input[[#This Row],[Measure Number]], Table_Prescript_Meas[Measure Number], 0)),"" )</f>
        <v/>
      </c>
      <c r="M38" s="81" t="str">
        <f>IFERROR(Table_Custom_Input[[#This Row],[Number of Units]]*INDEX(Table_Prescript_Meas[Deemed kW Savings], MATCH(Table_Custom_Input[[#This Row],[Measure Number]], Table_Prescript_Meas[Measure Number], 0)),"" )</f>
        <v/>
      </c>
      <c r="N38" s="74" t="str">
        <f>IFERROR(Table_Custom_Input[[#This Row],[Energy Savings (kWh)]]*Input_AvgkWhRate, "")</f>
        <v/>
      </c>
      <c r="O38" s="74" t="str">
        <f>IF(Table_Custom_Input[[#This Row],[Measure Number]]&lt;&gt;"",Table_Custom_Input[[#This Row],[Total Equipment Cost]]+Table_Custom_Input[[#This Row],[Total Labor Cost]],"")</f>
        <v/>
      </c>
      <c r="P38" s="74" t="str">
        <f>IF(Table_Custom_Input[[#This Row],[Measure Number]]="","",Table_Custom_Input[[#This Row],[Gross Measure Cost]]-Table_Custom_Input[[#This Row],[Estimated Incentive]])</f>
        <v/>
      </c>
      <c r="Q38" s="75" t="str">
        <f>IFERROR(Refrigeration!$P38/Refrigeration!$N38, "")</f>
        <v/>
      </c>
      <c r="R38"/>
      <c r="S38"/>
      <c r="T38"/>
      <c r="U38"/>
    </row>
    <row r="39" spans="2:21" s="15" customFormat="1" ht="15" x14ac:dyDescent="0.2">
      <c r="B39" s="69">
        <v>34</v>
      </c>
      <c r="C39" s="69" t="str">
        <f>IFERROR(INDEX(Table_Prescript_Meas[Measure Number], MATCH(Table_Custom_Input[[#This Row],[Refrigeration Measure]], Table_Prescript_Meas[Measure Description], 0)), "")</f>
        <v/>
      </c>
      <c r="D39" s="61"/>
      <c r="E39" s="60"/>
      <c r="F39" s="69" t="str">
        <f>IFERROR(INDEX(Table_Prescript_Meas[Units], MATCH(Table_Custom_Input[[#This Row],[Measure Number]], Table_Prescript_Meas[Measure Number], 0)), "")</f>
        <v/>
      </c>
      <c r="G39" s="60"/>
      <c r="H39" s="73"/>
      <c r="I39" s="73"/>
      <c r="J39"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39" s="74" t="str">
        <f>IFERROR(Table_Custom_Input[[#This Row],[Number of Units]]*Table_Custom_Input[[#This Row],[Per-Unit Incentive]],"")</f>
        <v/>
      </c>
      <c r="L39" s="75" t="str">
        <f>IFERROR(Table_Custom_Input[[#This Row],[Number of Units]]*INDEX(Table_Prescript_Meas[Deemed kWh Savings], MATCH(Table_Custom_Input[[#This Row],[Measure Number]], Table_Prescript_Meas[Measure Number], 0)),"" )</f>
        <v/>
      </c>
      <c r="M39" s="81" t="str">
        <f>IFERROR(Table_Custom_Input[[#This Row],[Number of Units]]*INDEX(Table_Prescript_Meas[Deemed kW Savings], MATCH(Table_Custom_Input[[#This Row],[Measure Number]], Table_Prescript_Meas[Measure Number], 0)),"" )</f>
        <v/>
      </c>
      <c r="N39" s="74" t="str">
        <f>IFERROR(Table_Custom_Input[[#This Row],[Energy Savings (kWh)]]*Input_AvgkWhRate, "")</f>
        <v/>
      </c>
      <c r="O39" s="74" t="str">
        <f>IF(Table_Custom_Input[[#This Row],[Measure Number]]&lt;&gt;"",Table_Custom_Input[[#This Row],[Total Equipment Cost]]+Table_Custom_Input[[#This Row],[Total Labor Cost]],"")</f>
        <v/>
      </c>
      <c r="P39" s="74" t="str">
        <f>IF(Table_Custom_Input[[#This Row],[Measure Number]]="","",Table_Custom_Input[[#This Row],[Gross Measure Cost]]-Table_Custom_Input[[#This Row],[Estimated Incentive]])</f>
        <v/>
      </c>
      <c r="Q39" s="75" t="str">
        <f>IFERROR(Refrigeration!$P39/Refrigeration!$N39, "")</f>
        <v/>
      </c>
      <c r="R39"/>
      <c r="S39"/>
      <c r="T39"/>
      <c r="U39"/>
    </row>
    <row r="40" spans="2:21" s="15" customFormat="1" ht="15" x14ac:dyDescent="0.2">
      <c r="B40" s="69">
        <v>35</v>
      </c>
      <c r="C40" s="69" t="str">
        <f>IFERROR(INDEX(Table_Prescript_Meas[Measure Number], MATCH(Table_Custom_Input[[#This Row],[Refrigeration Measure]], Table_Prescript_Meas[Measure Description], 0)), "")</f>
        <v/>
      </c>
      <c r="D40" s="61"/>
      <c r="E40" s="60"/>
      <c r="F40" s="69" t="str">
        <f>IFERROR(INDEX(Table_Prescript_Meas[Units], MATCH(Table_Custom_Input[[#This Row],[Measure Number]], Table_Prescript_Meas[Measure Number], 0)), "")</f>
        <v/>
      </c>
      <c r="G40" s="60"/>
      <c r="H40" s="73"/>
      <c r="I40" s="73"/>
      <c r="J40"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40" s="74" t="str">
        <f>IFERROR(Table_Custom_Input[[#This Row],[Number of Units]]*Table_Custom_Input[[#This Row],[Per-Unit Incentive]],"")</f>
        <v/>
      </c>
      <c r="L40" s="75" t="str">
        <f>IFERROR(Table_Custom_Input[[#This Row],[Number of Units]]*INDEX(Table_Prescript_Meas[Deemed kWh Savings], MATCH(Table_Custom_Input[[#This Row],[Measure Number]], Table_Prescript_Meas[Measure Number], 0)),"" )</f>
        <v/>
      </c>
      <c r="M40" s="81" t="str">
        <f>IFERROR(Table_Custom_Input[[#This Row],[Number of Units]]*INDEX(Table_Prescript_Meas[Deemed kW Savings], MATCH(Table_Custom_Input[[#This Row],[Measure Number]], Table_Prescript_Meas[Measure Number], 0)),"" )</f>
        <v/>
      </c>
      <c r="N40" s="74" t="str">
        <f>IFERROR(Table_Custom_Input[[#This Row],[Energy Savings (kWh)]]*Input_AvgkWhRate, "")</f>
        <v/>
      </c>
      <c r="O40" s="74" t="str">
        <f>IF(Table_Custom_Input[[#This Row],[Measure Number]]&lt;&gt;"",Table_Custom_Input[[#This Row],[Total Equipment Cost]]+Table_Custom_Input[[#This Row],[Total Labor Cost]],"")</f>
        <v/>
      </c>
      <c r="P40" s="74" t="str">
        <f>IF(Table_Custom_Input[[#This Row],[Measure Number]]="","",Table_Custom_Input[[#This Row],[Gross Measure Cost]]-Table_Custom_Input[[#This Row],[Estimated Incentive]])</f>
        <v/>
      </c>
      <c r="Q40" s="75" t="str">
        <f>IFERROR(Refrigeration!$P40/Refrigeration!$N40, "")</f>
        <v/>
      </c>
      <c r="R40"/>
      <c r="S40"/>
      <c r="T40"/>
      <c r="U40"/>
    </row>
    <row r="41" spans="2:21" s="15" customFormat="1" ht="15" x14ac:dyDescent="0.2">
      <c r="B41" s="69">
        <v>36</v>
      </c>
      <c r="C41" s="69" t="str">
        <f>IFERROR(INDEX(Table_Prescript_Meas[Measure Number], MATCH(Table_Custom_Input[[#This Row],[Refrigeration Measure]], Table_Prescript_Meas[Measure Description], 0)), "")</f>
        <v/>
      </c>
      <c r="D41" s="61"/>
      <c r="E41" s="60"/>
      <c r="F41" s="69" t="str">
        <f>IFERROR(INDEX(Table_Prescript_Meas[Units], MATCH(Table_Custom_Input[[#This Row],[Measure Number]], Table_Prescript_Meas[Measure Number], 0)), "")</f>
        <v/>
      </c>
      <c r="G41" s="60"/>
      <c r="H41" s="73"/>
      <c r="I41" s="73"/>
      <c r="J41"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41" s="74" t="str">
        <f>IFERROR(Table_Custom_Input[[#This Row],[Number of Units]]*Table_Custom_Input[[#This Row],[Per-Unit Incentive]],"")</f>
        <v/>
      </c>
      <c r="L41" s="75" t="str">
        <f>IFERROR(Table_Custom_Input[[#This Row],[Number of Units]]*INDEX(Table_Prescript_Meas[Deemed kWh Savings], MATCH(Table_Custom_Input[[#This Row],[Measure Number]], Table_Prescript_Meas[Measure Number], 0)),"" )</f>
        <v/>
      </c>
      <c r="M41" s="81" t="str">
        <f>IFERROR(Table_Custom_Input[[#This Row],[Number of Units]]*INDEX(Table_Prescript_Meas[Deemed kW Savings], MATCH(Table_Custom_Input[[#This Row],[Measure Number]], Table_Prescript_Meas[Measure Number], 0)),"" )</f>
        <v/>
      </c>
      <c r="N41" s="74" t="str">
        <f>IFERROR(Table_Custom_Input[[#This Row],[Energy Savings (kWh)]]*Input_AvgkWhRate, "")</f>
        <v/>
      </c>
      <c r="O41" s="74" t="str">
        <f>IF(Table_Custom_Input[[#This Row],[Measure Number]]&lt;&gt;"",Table_Custom_Input[[#This Row],[Total Equipment Cost]]+Table_Custom_Input[[#This Row],[Total Labor Cost]],"")</f>
        <v/>
      </c>
      <c r="P41" s="74" t="str">
        <f>IF(Table_Custom_Input[[#This Row],[Measure Number]]="","",Table_Custom_Input[[#This Row],[Gross Measure Cost]]-Table_Custom_Input[[#This Row],[Estimated Incentive]])</f>
        <v/>
      </c>
      <c r="Q41" s="75" t="str">
        <f>IFERROR(Refrigeration!$P41/Refrigeration!$N41, "")</f>
        <v/>
      </c>
      <c r="R41"/>
      <c r="S41"/>
      <c r="T41"/>
      <c r="U41"/>
    </row>
    <row r="42" spans="2:21" s="15" customFormat="1" ht="15" x14ac:dyDescent="0.2">
      <c r="B42" s="69">
        <v>37</v>
      </c>
      <c r="C42" s="69" t="str">
        <f>IFERROR(INDEX(Table_Prescript_Meas[Measure Number], MATCH(Table_Custom_Input[[#This Row],[Refrigeration Measure]], Table_Prescript_Meas[Measure Description], 0)), "")</f>
        <v/>
      </c>
      <c r="D42" s="61"/>
      <c r="E42" s="60"/>
      <c r="F42" s="69" t="str">
        <f>IFERROR(INDEX(Table_Prescript_Meas[Units], MATCH(Table_Custom_Input[[#This Row],[Measure Number]], Table_Prescript_Meas[Measure Number], 0)), "")</f>
        <v/>
      </c>
      <c r="G42" s="60"/>
      <c r="H42" s="73"/>
      <c r="I42" s="73"/>
      <c r="J42"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42" s="74" t="str">
        <f>IFERROR(Table_Custom_Input[[#This Row],[Number of Units]]*Table_Custom_Input[[#This Row],[Per-Unit Incentive]],"")</f>
        <v/>
      </c>
      <c r="L42" s="75" t="str">
        <f>IFERROR(Table_Custom_Input[[#This Row],[Number of Units]]*INDEX(Table_Prescript_Meas[Deemed kWh Savings], MATCH(Table_Custom_Input[[#This Row],[Measure Number]], Table_Prescript_Meas[Measure Number], 0)),"" )</f>
        <v/>
      </c>
      <c r="M42" s="81" t="str">
        <f>IFERROR(Table_Custom_Input[[#This Row],[Number of Units]]*INDEX(Table_Prescript_Meas[Deemed kW Savings], MATCH(Table_Custom_Input[[#This Row],[Measure Number]], Table_Prescript_Meas[Measure Number], 0)),"" )</f>
        <v/>
      </c>
      <c r="N42" s="74" t="str">
        <f>IFERROR(Table_Custom_Input[[#This Row],[Energy Savings (kWh)]]*Input_AvgkWhRate, "")</f>
        <v/>
      </c>
      <c r="O42" s="74" t="str">
        <f>IF(Table_Custom_Input[[#This Row],[Measure Number]]&lt;&gt;"",Table_Custom_Input[[#This Row],[Total Equipment Cost]]+Table_Custom_Input[[#This Row],[Total Labor Cost]],"")</f>
        <v/>
      </c>
      <c r="P42" s="74" t="str">
        <f>IF(Table_Custom_Input[[#This Row],[Measure Number]]="","",Table_Custom_Input[[#This Row],[Gross Measure Cost]]-Table_Custom_Input[[#This Row],[Estimated Incentive]])</f>
        <v/>
      </c>
      <c r="Q42" s="75" t="str">
        <f>IFERROR(Refrigeration!$P42/Refrigeration!$N42, "")</f>
        <v/>
      </c>
      <c r="R42"/>
      <c r="S42"/>
      <c r="T42"/>
      <c r="U42"/>
    </row>
    <row r="43" spans="2:21" s="15" customFormat="1" ht="15" x14ac:dyDescent="0.2">
      <c r="B43" s="69">
        <v>38</v>
      </c>
      <c r="C43" s="69" t="str">
        <f>IFERROR(INDEX(Table_Prescript_Meas[Measure Number], MATCH(Table_Custom_Input[[#This Row],[Refrigeration Measure]], Table_Prescript_Meas[Measure Description], 0)), "")</f>
        <v/>
      </c>
      <c r="D43" s="61"/>
      <c r="E43" s="60"/>
      <c r="F43" s="69" t="str">
        <f>IFERROR(INDEX(Table_Prescript_Meas[Units], MATCH(Table_Custom_Input[[#This Row],[Measure Number]], Table_Prescript_Meas[Measure Number], 0)), "")</f>
        <v/>
      </c>
      <c r="G43" s="60"/>
      <c r="H43" s="73"/>
      <c r="I43" s="73"/>
      <c r="J43"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43" s="74" t="str">
        <f>IFERROR(Table_Custom_Input[[#This Row],[Number of Units]]*Table_Custom_Input[[#This Row],[Per-Unit Incentive]],"")</f>
        <v/>
      </c>
      <c r="L43" s="75" t="str">
        <f>IFERROR(Table_Custom_Input[[#This Row],[Number of Units]]*INDEX(Table_Prescript_Meas[Deemed kWh Savings], MATCH(Table_Custom_Input[[#This Row],[Measure Number]], Table_Prescript_Meas[Measure Number], 0)),"" )</f>
        <v/>
      </c>
      <c r="M43" s="81" t="str">
        <f>IFERROR(Table_Custom_Input[[#This Row],[Number of Units]]*INDEX(Table_Prescript_Meas[Deemed kW Savings], MATCH(Table_Custom_Input[[#This Row],[Measure Number]], Table_Prescript_Meas[Measure Number], 0)),"" )</f>
        <v/>
      </c>
      <c r="N43" s="74" t="str">
        <f>IFERROR(Table_Custom_Input[[#This Row],[Energy Savings (kWh)]]*Input_AvgkWhRate, "")</f>
        <v/>
      </c>
      <c r="O43" s="74" t="str">
        <f>IF(Table_Custom_Input[[#This Row],[Measure Number]]&lt;&gt;"",Table_Custom_Input[[#This Row],[Total Equipment Cost]]+Table_Custom_Input[[#This Row],[Total Labor Cost]],"")</f>
        <v/>
      </c>
      <c r="P43" s="74" t="str">
        <f>IF(Table_Custom_Input[[#This Row],[Measure Number]]="","",Table_Custom_Input[[#This Row],[Gross Measure Cost]]-Table_Custom_Input[[#This Row],[Estimated Incentive]])</f>
        <v/>
      </c>
      <c r="Q43" s="75" t="str">
        <f>IFERROR(Refrigeration!$P43/Refrigeration!$N43, "")</f>
        <v/>
      </c>
      <c r="R43"/>
      <c r="S43"/>
      <c r="T43"/>
      <c r="U43"/>
    </row>
    <row r="44" spans="2:21" s="15" customFormat="1" ht="15" x14ac:dyDescent="0.2">
      <c r="B44" s="69">
        <v>39</v>
      </c>
      <c r="C44" s="69" t="str">
        <f>IFERROR(INDEX(Table_Prescript_Meas[Measure Number], MATCH(Table_Custom_Input[[#This Row],[Refrigeration Measure]], Table_Prescript_Meas[Measure Description], 0)), "")</f>
        <v/>
      </c>
      <c r="D44" s="61"/>
      <c r="E44" s="60"/>
      <c r="F44" s="69" t="str">
        <f>IFERROR(INDEX(Table_Prescript_Meas[Units], MATCH(Table_Custom_Input[[#This Row],[Measure Number]], Table_Prescript_Meas[Measure Number], 0)), "")</f>
        <v/>
      </c>
      <c r="G44" s="60"/>
      <c r="H44" s="73"/>
      <c r="I44" s="73"/>
      <c r="J44"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44" s="74" t="str">
        <f>IFERROR(Table_Custom_Input[[#This Row],[Number of Units]]*Table_Custom_Input[[#This Row],[Per-Unit Incentive]],"")</f>
        <v/>
      </c>
      <c r="L44" s="75" t="str">
        <f>IFERROR(Table_Custom_Input[[#This Row],[Number of Units]]*INDEX(Table_Prescript_Meas[Deemed kWh Savings], MATCH(Table_Custom_Input[[#This Row],[Measure Number]], Table_Prescript_Meas[Measure Number], 0)),"" )</f>
        <v/>
      </c>
      <c r="M44" s="81" t="str">
        <f>IFERROR(Table_Custom_Input[[#This Row],[Number of Units]]*INDEX(Table_Prescript_Meas[Deemed kW Savings], MATCH(Table_Custom_Input[[#This Row],[Measure Number]], Table_Prescript_Meas[Measure Number], 0)),"" )</f>
        <v/>
      </c>
      <c r="N44" s="74" t="str">
        <f>IFERROR(Table_Custom_Input[[#This Row],[Energy Savings (kWh)]]*Input_AvgkWhRate, "")</f>
        <v/>
      </c>
      <c r="O44" s="74" t="str">
        <f>IF(Table_Custom_Input[[#This Row],[Measure Number]]&lt;&gt;"",Table_Custom_Input[[#This Row],[Total Equipment Cost]]+Table_Custom_Input[[#This Row],[Total Labor Cost]],"")</f>
        <v/>
      </c>
      <c r="P44" s="74" t="str">
        <f>IF(Table_Custom_Input[[#This Row],[Measure Number]]="","",Table_Custom_Input[[#This Row],[Gross Measure Cost]]-Table_Custom_Input[[#This Row],[Estimated Incentive]])</f>
        <v/>
      </c>
      <c r="Q44" s="75" t="str">
        <f>IFERROR(Refrigeration!$P44/Refrigeration!$N44, "")</f>
        <v/>
      </c>
      <c r="R44"/>
      <c r="S44"/>
      <c r="T44"/>
      <c r="U44"/>
    </row>
    <row r="45" spans="2:21" s="15" customFormat="1" ht="15" x14ac:dyDescent="0.2">
      <c r="B45" s="69">
        <v>40</v>
      </c>
      <c r="C45" s="69" t="str">
        <f>IFERROR(INDEX(Table_Prescript_Meas[Measure Number], MATCH(Table_Custom_Input[[#This Row],[Refrigeration Measure]], Table_Prescript_Meas[Measure Description], 0)), "")</f>
        <v/>
      </c>
      <c r="D45" s="61"/>
      <c r="E45" s="60"/>
      <c r="F45" s="69" t="str">
        <f>IFERROR(INDEX(Table_Prescript_Meas[Units], MATCH(Table_Custom_Input[[#This Row],[Measure Number]], Table_Prescript_Meas[Measure Number], 0)), "")</f>
        <v/>
      </c>
      <c r="G45" s="60"/>
      <c r="H45" s="73"/>
      <c r="I45" s="73"/>
      <c r="J45"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45" s="74" t="str">
        <f>IFERROR(Table_Custom_Input[[#This Row],[Number of Units]]*Table_Custom_Input[[#This Row],[Per-Unit Incentive]],"")</f>
        <v/>
      </c>
      <c r="L45" s="75" t="str">
        <f>IFERROR(Table_Custom_Input[[#This Row],[Number of Units]]*INDEX(Table_Prescript_Meas[Deemed kWh Savings], MATCH(Table_Custom_Input[[#This Row],[Measure Number]], Table_Prescript_Meas[Measure Number], 0)),"" )</f>
        <v/>
      </c>
      <c r="M45" s="81" t="str">
        <f>IFERROR(Table_Custom_Input[[#This Row],[Number of Units]]*INDEX(Table_Prescript_Meas[Deemed kW Savings], MATCH(Table_Custom_Input[[#This Row],[Measure Number]], Table_Prescript_Meas[Measure Number], 0)),"" )</f>
        <v/>
      </c>
      <c r="N45" s="74" t="str">
        <f>IFERROR(Table_Custom_Input[[#This Row],[Energy Savings (kWh)]]*Input_AvgkWhRate, "")</f>
        <v/>
      </c>
      <c r="O45" s="74" t="str">
        <f>IF(Table_Custom_Input[[#This Row],[Measure Number]]&lt;&gt;"",Table_Custom_Input[[#This Row],[Total Equipment Cost]]+Table_Custom_Input[[#This Row],[Total Labor Cost]],"")</f>
        <v/>
      </c>
      <c r="P45" s="74" t="str">
        <f>IF(Table_Custom_Input[[#This Row],[Measure Number]]="","",Table_Custom_Input[[#This Row],[Gross Measure Cost]]-Table_Custom_Input[[#This Row],[Estimated Incentive]])</f>
        <v/>
      </c>
      <c r="Q45" s="75" t="str">
        <f>IFERROR(Refrigeration!$P45/Refrigeration!$N45, "")</f>
        <v/>
      </c>
      <c r="R45"/>
      <c r="S45"/>
      <c r="T45"/>
      <c r="U45"/>
    </row>
    <row r="46" spans="2:21" s="15" customFormat="1" ht="15" x14ac:dyDescent="0.2">
      <c r="B46" s="69">
        <v>41</v>
      </c>
      <c r="C46" s="69" t="str">
        <f>IFERROR(INDEX(Table_Prescript_Meas[Measure Number], MATCH(Table_Custom_Input[[#This Row],[Refrigeration Measure]], Table_Prescript_Meas[Measure Description], 0)), "")</f>
        <v/>
      </c>
      <c r="D46" s="61"/>
      <c r="E46" s="60"/>
      <c r="F46" s="69" t="str">
        <f>IFERROR(INDEX(Table_Prescript_Meas[Units], MATCH(Table_Custom_Input[[#This Row],[Measure Number]], Table_Prescript_Meas[Measure Number], 0)), "")</f>
        <v/>
      </c>
      <c r="G46" s="60"/>
      <c r="H46" s="73"/>
      <c r="I46" s="73"/>
      <c r="J46"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46" s="74" t="str">
        <f>IFERROR(Table_Custom_Input[[#This Row],[Number of Units]]*Table_Custom_Input[[#This Row],[Per-Unit Incentive]],"")</f>
        <v/>
      </c>
      <c r="L46" s="75" t="str">
        <f>IFERROR(Table_Custom_Input[[#This Row],[Number of Units]]*INDEX(Table_Prescript_Meas[Deemed kWh Savings], MATCH(Table_Custom_Input[[#This Row],[Measure Number]], Table_Prescript_Meas[Measure Number], 0)),"" )</f>
        <v/>
      </c>
      <c r="M46" s="81" t="str">
        <f>IFERROR(Table_Custom_Input[[#This Row],[Number of Units]]*INDEX(Table_Prescript_Meas[Deemed kW Savings], MATCH(Table_Custom_Input[[#This Row],[Measure Number]], Table_Prescript_Meas[Measure Number], 0)),"" )</f>
        <v/>
      </c>
      <c r="N46" s="74" t="str">
        <f>IFERROR(Table_Custom_Input[[#This Row],[Energy Savings (kWh)]]*Input_AvgkWhRate, "")</f>
        <v/>
      </c>
      <c r="O46" s="74" t="str">
        <f>IF(Table_Custom_Input[[#This Row],[Measure Number]]&lt;&gt;"",Table_Custom_Input[[#This Row],[Total Equipment Cost]]+Table_Custom_Input[[#This Row],[Total Labor Cost]],"")</f>
        <v/>
      </c>
      <c r="P46" s="74" t="str">
        <f>IF(Table_Custom_Input[[#This Row],[Measure Number]]="","",Table_Custom_Input[[#This Row],[Gross Measure Cost]]-Table_Custom_Input[[#This Row],[Estimated Incentive]])</f>
        <v/>
      </c>
      <c r="Q46" s="75" t="str">
        <f>IFERROR(Refrigeration!$P46/Refrigeration!$N46, "")</f>
        <v/>
      </c>
      <c r="R46"/>
      <c r="S46"/>
      <c r="T46"/>
      <c r="U46"/>
    </row>
    <row r="47" spans="2:21" s="15" customFormat="1" ht="15" x14ac:dyDescent="0.2">
      <c r="B47" s="69">
        <v>42</v>
      </c>
      <c r="C47" s="69" t="str">
        <f>IFERROR(INDEX(Table_Prescript_Meas[Measure Number], MATCH(Table_Custom_Input[[#This Row],[Refrigeration Measure]], Table_Prescript_Meas[Measure Description], 0)), "")</f>
        <v/>
      </c>
      <c r="D47" s="61"/>
      <c r="E47" s="60"/>
      <c r="F47" s="69" t="str">
        <f>IFERROR(INDEX(Table_Prescript_Meas[Units], MATCH(Table_Custom_Input[[#This Row],[Measure Number]], Table_Prescript_Meas[Measure Number], 0)), "")</f>
        <v/>
      </c>
      <c r="G47" s="60"/>
      <c r="H47" s="73"/>
      <c r="I47" s="73"/>
      <c r="J47"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47" s="74" t="str">
        <f>IFERROR(Table_Custom_Input[[#This Row],[Number of Units]]*Table_Custom_Input[[#This Row],[Per-Unit Incentive]],"")</f>
        <v/>
      </c>
      <c r="L47" s="75" t="str">
        <f>IFERROR(Table_Custom_Input[[#This Row],[Number of Units]]*INDEX(Table_Prescript_Meas[Deemed kWh Savings], MATCH(Table_Custom_Input[[#This Row],[Measure Number]], Table_Prescript_Meas[Measure Number], 0)),"" )</f>
        <v/>
      </c>
      <c r="M47" s="81" t="str">
        <f>IFERROR(Table_Custom_Input[[#This Row],[Number of Units]]*INDEX(Table_Prescript_Meas[Deemed kW Savings], MATCH(Table_Custom_Input[[#This Row],[Measure Number]], Table_Prescript_Meas[Measure Number], 0)),"" )</f>
        <v/>
      </c>
      <c r="N47" s="74" t="str">
        <f>IFERROR(Table_Custom_Input[[#This Row],[Energy Savings (kWh)]]*Input_AvgkWhRate, "")</f>
        <v/>
      </c>
      <c r="O47" s="74" t="str">
        <f>IF(Table_Custom_Input[[#This Row],[Measure Number]]&lt;&gt;"",Table_Custom_Input[[#This Row],[Total Equipment Cost]]+Table_Custom_Input[[#This Row],[Total Labor Cost]],"")</f>
        <v/>
      </c>
      <c r="P47" s="74" t="str">
        <f>IF(Table_Custom_Input[[#This Row],[Measure Number]]="","",Table_Custom_Input[[#This Row],[Gross Measure Cost]]-Table_Custom_Input[[#This Row],[Estimated Incentive]])</f>
        <v/>
      </c>
      <c r="Q47" s="75" t="str">
        <f>IFERROR(Refrigeration!$P47/Refrigeration!$N47, "")</f>
        <v/>
      </c>
      <c r="R47"/>
      <c r="S47"/>
      <c r="T47"/>
      <c r="U47"/>
    </row>
    <row r="48" spans="2:21" s="15" customFormat="1" ht="15" x14ac:dyDescent="0.2">
      <c r="B48" s="69">
        <v>43</v>
      </c>
      <c r="C48" s="69" t="str">
        <f>IFERROR(INDEX(Table_Prescript_Meas[Measure Number], MATCH(Table_Custom_Input[[#This Row],[Refrigeration Measure]], Table_Prescript_Meas[Measure Description], 0)), "")</f>
        <v/>
      </c>
      <c r="D48" s="61"/>
      <c r="E48" s="60"/>
      <c r="F48" s="69" t="str">
        <f>IFERROR(INDEX(Table_Prescript_Meas[Units], MATCH(Table_Custom_Input[[#This Row],[Measure Number]], Table_Prescript_Meas[Measure Number], 0)), "")</f>
        <v/>
      </c>
      <c r="G48" s="60"/>
      <c r="H48" s="73"/>
      <c r="I48" s="73"/>
      <c r="J48"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48" s="74" t="str">
        <f>IFERROR(Table_Custom_Input[[#This Row],[Number of Units]]*Table_Custom_Input[[#This Row],[Per-Unit Incentive]],"")</f>
        <v/>
      </c>
      <c r="L48" s="75" t="str">
        <f>IFERROR(Table_Custom_Input[[#This Row],[Number of Units]]*INDEX(Table_Prescript_Meas[Deemed kWh Savings], MATCH(Table_Custom_Input[[#This Row],[Measure Number]], Table_Prescript_Meas[Measure Number], 0)),"" )</f>
        <v/>
      </c>
      <c r="M48" s="81" t="str">
        <f>IFERROR(Table_Custom_Input[[#This Row],[Number of Units]]*INDEX(Table_Prescript_Meas[Deemed kW Savings], MATCH(Table_Custom_Input[[#This Row],[Measure Number]], Table_Prescript_Meas[Measure Number], 0)),"" )</f>
        <v/>
      </c>
      <c r="N48" s="74" t="str">
        <f>IFERROR(Table_Custom_Input[[#This Row],[Energy Savings (kWh)]]*Input_AvgkWhRate, "")</f>
        <v/>
      </c>
      <c r="O48" s="74" t="str">
        <f>IF(Table_Custom_Input[[#This Row],[Measure Number]]&lt;&gt;"",Table_Custom_Input[[#This Row],[Total Equipment Cost]]+Table_Custom_Input[[#This Row],[Total Labor Cost]],"")</f>
        <v/>
      </c>
      <c r="P48" s="74" t="str">
        <f>IF(Table_Custom_Input[[#This Row],[Measure Number]]="","",Table_Custom_Input[[#This Row],[Gross Measure Cost]]-Table_Custom_Input[[#This Row],[Estimated Incentive]])</f>
        <v/>
      </c>
      <c r="Q48" s="75" t="str">
        <f>IFERROR(Refrigeration!$P48/Refrigeration!$N48, "")</f>
        <v/>
      </c>
      <c r="R48"/>
      <c r="S48"/>
      <c r="T48"/>
      <c r="U48"/>
    </row>
    <row r="49" spans="2:21" s="15" customFormat="1" ht="15" x14ac:dyDescent="0.2">
      <c r="B49" s="69">
        <v>44</v>
      </c>
      <c r="C49" s="69" t="str">
        <f>IFERROR(INDEX(Table_Prescript_Meas[Measure Number], MATCH(Table_Custom_Input[[#This Row],[Refrigeration Measure]], Table_Prescript_Meas[Measure Description], 0)), "")</f>
        <v/>
      </c>
      <c r="D49" s="61"/>
      <c r="E49" s="60"/>
      <c r="F49" s="69" t="str">
        <f>IFERROR(INDEX(Table_Prescript_Meas[Units], MATCH(Table_Custom_Input[[#This Row],[Measure Number]], Table_Prescript_Meas[Measure Number], 0)), "")</f>
        <v/>
      </c>
      <c r="G49" s="60"/>
      <c r="H49" s="73"/>
      <c r="I49" s="73"/>
      <c r="J49"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49" s="74" t="str">
        <f>IFERROR(Table_Custom_Input[[#This Row],[Number of Units]]*Table_Custom_Input[[#This Row],[Per-Unit Incentive]],"")</f>
        <v/>
      </c>
      <c r="L49" s="75" t="str">
        <f>IFERROR(Table_Custom_Input[[#This Row],[Number of Units]]*INDEX(Table_Prescript_Meas[Deemed kWh Savings], MATCH(Table_Custom_Input[[#This Row],[Measure Number]], Table_Prescript_Meas[Measure Number], 0)),"" )</f>
        <v/>
      </c>
      <c r="M49" s="81" t="str">
        <f>IFERROR(Table_Custom_Input[[#This Row],[Number of Units]]*INDEX(Table_Prescript_Meas[Deemed kW Savings], MATCH(Table_Custom_Input[[#This Row],[Measure Number]], Table_Prescript_Meas[Measure Number], 0)),"" )</f>
        <v/>
      </c>
      <c r="N49" s="74" t="str">
        <f>IFERROR(Table_Custom_Input[[#This Row],[Energy Savings (kWh)]]*Input_AvgkWhRate, "")</f>
        <v/>
      </c>
      <c r="O49" s="74" t="str">
        <f>IF(Table_Custom_Input[[#This Row],[Measure Number]]&lt;&gt;"",Table_Custom_Input[[#This Row],[Total Equipment Cost]]+Table_Custom_Input[[#This Row],[Total Labor Cost]],"")</f>
        <v/>
      </c>
      <c r="P49" s="74" t="str">
        <f>IF(Table_Custom_Input[[#This Row],[Measure Number]]="","",Table_Custom_Input[[#This Row],[Gross Measure Cost]]-Table_Custom_Input[[#This Row],[Estimated Incentive]])</f>
        <v/>
      </c>
      <c r="Q49" s="75" t="str">
        <f>IFERROR(Refrigeration!$P49/Refrigeration!$N49, "")</f>
        <v/>
      </c>
      <c r="R49"/>
      <c r="S49"/>
      <c r="T49"/>
      <c r="U49"/>
    </row>
    <row r="50" spans="2:21" s="15" customFormat="1" ht="15" x14ac:dyDescent="0.2">
      <c r="B50" s="69">
        <v>45</v>
      </c>
      <c r="C50" s="69" t="str">
        <f>IFERROR(INDEX(Table_Prescript_Meas[Measure Number], MATCH(Table_Custom_Input[[#This Row],[Refrigeration Measure]], Table_Prescript_Meas[Measure Description], 0)), "")</f>
        <v/>
      </c>
      <c r="D50" s="61"/>
      <c r="E50" s="60"/>
      <c r="F50" s="69" t="str">
        <f>IFERROR(INDEX(Table_Prescript_Meas[Units], MATCH(Table_Custom_Input[[#This Row],[Measure Number]], Table_Prescript_Meas[Measure Number], 0)), "")</f>
        <v/>
      </c>
      <c r="G50" s="60"/>
      <c r="H50" s="73"/>
      <c r="I50" s="73"/>
      <c r="J50"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50" s="74" t="str">
        <f>IFERROR(Table_Custom_Input[[#This Row],[Number of Units]]*Table_Custom_Input[[#This Row],[Per-Unit Incentive]],"")</f>
        <v/>
      </c>
      <c r="L50" s="75" t="str">
        <f>IFERROR(Table_Custom_Input[[#This Row],[Number of Units]]*INDEX(Table_Prescript_Meas[Deemed kWh Savings], MATCH(Table_Custom_Input[[#This Row],[Measure Number]], Table_Prescript_Meas[Measure Number], 0)),"" )</f>
        <v/>
      </c>
      <c r="M50" s="81" t="str">
        <f>IFERROR(Table_Custom_Input[[#This Row],[Number of Units]]*INDEX(Table_Prescript_Meas[Deemed kW Savings], MATCH(Table_Custom_Input[[#This Row],[Measure Number]], Table_Prescript_Meas[Measure Number], 0)),"" )</f>
        <v/>
      </c>
      <c r="N50" s="74" t="str">
        <f>IFERROR(Table_Custom_Input[[#This Row],[Energy Savings (kWh)]]*Input_AvgkWhRate, "")</f>
        <v/>
      </c>
      <c r="O50" s="74" t="str">
        <f>IF(Table_Custom_Input[[#This Row],[Measure Number]]&lt;&gt;"",Table_Custom_Input[[#This Row],[Total Equipment Cost]]+Table_Custom_Input[[#This Row],[Total Labor Cost]],"")</f>
        <v/>
      </c>
      <c r="P50" s="74" t="str">
        <f>IF(Table_Custom_Input[[#This Row],[Measure Number]]="","",Table_Custom_Input[[#This Row],[Gross Measure Cost]]-Table_Custom_Input[[#This Row],[Estimated Incentive]])</f>
        <v/>
      </c>
      <c r="Q50" s="75" t="str">
        <f>IFERROR(Refrigeration!$P50/Refrigeration!$N50, "")</f>
        <v/>
      </c>
      <c r="R50"/>
      <c r="S50"/>
      <c r="T50"/>
      <c r="U50"/>
    </row>
    <row r="51" spans="2:21" s="15" customFormat="1" ht="15" x14ac:dyDescent="0.2">
      <c r="B51" s="69">
        <v>46</v>
      </c>
      <c r="C51" s="69" t="str">
        <f>IFERROR(INDEX(Table_Prescript_Meas[Measure Number], MATCH(Table_Custom_Input[[#This Row],[Refrigeration Measure]], Table_Prescript_Meas[Measure Description], 0)), "")</f>
        <v/>
      </c>
      <c r="D51" s="61"/>
      <c r="E51" s="60"/>
      <c r="F51" s="69" t="str">
        <f>IFERROR(INDEX(Table_Prescript_Meas[Units], MATCH(Table_Custom_Input[[#This Row],[Measure Number]], Table_Prescript_Meas[Measure Number], 0)), "")</f>
        <v/>
      </c>
      <c r="G51" s="60"/>
      <c r="H51" s="73"/>
      <c r="I51" s="73"/>
      <c r="J51"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51" s="74" t="str">
        <f>IFERROR(Table_Custom_Input[[#This Row],[Number of Units]]*Table_Custom_Input[[#This Row],[Per-Unit Incentive]],"")</f>
        <v/>
      </c>
      <c r="L51" s="75" t="str">
        <f>IFERROR(Table_Custom_Input[[#This Row],[Number of Units]]*INDEX(Table_Prescript_Meas[Deemed kWh Savings], MATCH(Table_Custom_Input[[#This Row],[Measure Number]], Table_Prescript_Meas[Measure Number], 0)),"" )</f>
        <v/>
      </c>
      <c r="M51" s="81" t="str">
        <f>IFERROR(Table_Custom_Input[[#This Row],[Number of Units]]*INDEX(Table_Prescript_Meas[Deemed kW Savings], MATCH(Table_Custom_Input[[#This Row],[Measure Number]], Table_Prescript_Meas[Measure Number], 0)),"" )</f>
        <v/>
      </c>
      <c r="N51" s="74" t="str">
        <f>IFERROR(Table_Custom_Input[[#This Row],[Energy Savings (kWh)]]*Input_AvgkWhRate, "")</f>
        <v/>
      </c>
      <c r="O51" s="74" t="str">
        <f>IF(Table_Custom_Input[[#This Row],[Measure Number]]&lt;&gt;"",Table_Custom_Input[[#This Row],[Total Equipment Cost]]+Table_Custom_Input[[#This Row],[Total Labor Cost]],"")</f>
        <v/>
      </c>
      <c r="P51" s="74" t="str">
        <f>IF(Table_Custom_Input[[#This Row],[Measure Number]]="","",Table_Custom_Input[[#This Row],[Gross Measure Cost]]-Table_Custom_Input[[#This Row],[Estimated Incentive]])</f>
        <v/>
      </c>
      <c r="Q51" s="75" t="str">
        <f>IFERROR(Refrigeration!$P51/Refrigeration!$N51, "")</f>
        <v/>
      </c>
      <c r="R51"/>
      <c r="S51"/>
      <c r="T51"/>
      <c r="U51"/>
    </row>
    <row r="52" spans="2:21" s="15" customFormat="1" ht="15" x14ac:dyDescent="0.2">
      <c r="B52" s="69">
        <v>47</v>
      </c>
      <c r="C52" s="69" t="str">
        <f>IFERROR(INDEX(Table_Prescript_Meas[Measure Number], MATCH(Table_Custom_Input[[#This Row],[Refrigeration Measure]], Table_Prescript_Meas[Measure Description], 0)), "")</f>
        <v/>
      </c>
      <c r="D52" s="61"/>
      <c r="E52" s="60"/>
      <c r="F52" s="69" t="str">
        <f>IFERROR(INDEX(Table_Prescript_Meas[Units], MATCH(Table_Custom_Input[[#This Row],[Measure Number]], Table_Prescript_Meas[Measure Number], 0)), "")</f>
        <v/>
      </c>
      <c r="G52" s="60"/>
      <c r="H52" s="73"/>
      <c r="I52" s="73"/>
      <c r="J52"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52" s="74" t="str">
        <f>IFERROR(Table_Custom_Input[[#This Row],[Number of Units]]*Table_Custom_Input[[#This Row],[Per-Unit Incentive]],"")</f>
        <v/>
      </c>
      <c r="L52" s="75" t="str">
        <f>IFERROR(Table_Custom_Input[[#This Row],[Number of Units]]*INDEX(Table_Prescript_Meas[Deemed kWh Savings], MATCH(Table_Custom_Input[[#This Row],[Measure Number]], Table_Prescript_Meas[Measure Number], 0)),"" )</f>
        <v/>
      </c>
      <c r="M52" s="81" t="str">
        <f>IFERROR(Table_Custom_Input[[#This Row],[Number of Units]]*INDEX(Table_Prescript_Meas[Deemed kW Savings], MATCH(Table_Custom_Input[[#This Row],[Measure Number]], Table_Prescript_Meas[Measure Number], 0)),"" )</f>
        <v/>
      </c>
      <c r="N52" s="74" t="str">
        <f>IFERROR(Table_Custom_Input[[#This Row],[Energy Savings (kWh)]]*Input_AvgkWhRate, "")</f>
        <v/>
      </c>
      <c r="O52" s="74" t="str">
        <f>IF(Table_Custom_Input[[#This Row],[Measure Number]]&lt;&gt;"",Table_Custom_Input[[#This Row],[Total Equipment Cost]]+Table_Custom_Input[[#This Row],[Total Labor Cost]],"")</f>
        <v/>
      </c>
      <c r="P52" s="74" t="str">
        <f>IF(Table_Custom_Input[[#This Row],[Measure Number]]="","",Table_Custom_Input[[#This Row],[Gross Measure Cost]]-Table_Custom_Input[[#This Row],[Estimated Incentive]])</f>
        <v/>
      </c>
      <c r="Q52" s="75" t="str">
        <f>IFERROR(Refrigeration!$P52/Refrigeration!$N52, "")</f>
        <v/>
      </c>
      <c r="R52"/>
      <c r="S52"/>
      <c r="T52"/>
      <c r="U52"/>
    </row>
    <row r="53" spans="2:21" s="15" customFormat="1" ht="15" x14ac:dyDescent="0.2">
      <c r="B53" s="69">
        <v>48</v>
      </c>
      <c r="C53" s="69" t="str">
        <f>IFERROR(INDEX(Table_Prescript_Meas[Measure Number], MATCH(Table_Custom_Input[[#This Row],[Refrigeration Measure]], Table_Prescript_Meas[Measure Description], 0)), "")</f>
        <v/>
      </c>
      <c r="D53" s="61"/>
      <c r="E53" s="60"/>
      <c r="F53" s="69" t="str">
        <f>IFERROR(INDEX(Table_Prescript_Meas[Units], MATCH(Table_Custom_Input[[#This Row],[Measure Number]], Table_Prescript_Meas[Measure Number], 0)), "")</f>
        <v/>
      </c>
      <c r="G53" s="60"/>
      <c r="H53" s="73"/>
      <c r="I53" s="73"/>
      <c r="J53"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53" s="74" t="str">
        <f>IFERROR(Table_Custom_Input[[#This Row],[Number of Units]]*Table_Custom_Input[[#This Row],[Per-Unit Incentive]],"")</f>
        <v/>
      </c>
      <c r="L53" s="75" t="str">
        <f>IFERROR(Table_Custom_Input[[#This Row],[Number of Units]]*INDEX(Table_Prescript_Meas[Deemed kWh Savings], MATCH(Table_Custom_Input[[#This Row],[Measure Number]], Table_Prescript_Meas[Measure Number], 0)),"" )</f>
        <v/>
      </c>
      <c r="M53" s="81" t="str">
        <f>IFERROR(Table_Custom_Input[[#This Row],[Number of Units]]*INDEX(Table_Prescript_Meas[Deemed kW Savings], MATCH(Table_Custom_Input[[#This Row],[Measure Number]], Table_Prescript_Meas[Measure Number], 0)),"" )</f>
        <v/>
      </c>
      <c r="N53" s="74" t="str">
        <f>IFERROR(Table_Custom_Input[[#This Row],[Energy Savings (kWh)]]*Input_AvgkWhRate, "")</f>
        <v/>
      </c>
      <c r="O53" s="74" t="str">
        <f>IF(Table_Custom_Input[[#This Row],[Measure Number]]&lt;&gt;"",Table_Custom_Input[[#This Row],[Total Equipment Cost]]+Table_Custom_Input[[#This Row],[Total Labor Cost]],"")</f>
        <v/>
      </c>
      <c r="P53" s="74" t="str">
        <f>IF(Table_Custom_Input[[#This Row],[Measure Number]]="","",Table_Custom_Input[[#This Row],[Gross Measure Cost]]-Table_Custom_Input[[#This Row],[Estimated Incentive]])</f>
        <v/>
      </c>
      <c r="Q53" s="75" t="str">
        <f>IFERROR(Refrigeration!$P53/Refrigeration!$N53, "")</f>
        <v/>
      </c>
      <c r="R53"/>
      <c r="S53"/>
      <c r="T53"/>
      <c r="U53"/>
    </row>
    <row r="54" spans="2:21" s="15" customFormat="1" ht="15" x14ac:dyDescent="0.2">
      <c r="B54" s="69">
        <v>49</v>
      </c>
      <c r="C54" s="69" t="str">
        <f>IFERROR(INDEX(Table_Prescript_Meas[Measure Number], MATCH(Table_Custom_Input[[#This Row],[Refrigeration Measure]], Table_Prescript_Meas[Measure Description], 0)), "")</f>
        <v/>
      </c>
      <c r="D54" s="61"/>
      <c r="E54" s="60"/>
      <c r="F54" s="69" t="str">
        <f>IFERROR(INDEX(Table_Prescript_Meas[Units], MATCH(Table_Custom_Input[[#This Row],[Measure Number]], Table_Prescript_Meas[Measure Number], 0)), "")</f>
        <v/>
      </c>
      <c r="G54" s="60"/>
      <c r="H54" s="73"/>
      <c r="I54" s="73"/>
      <c r="J54"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54" s="74" t="str">
        <f>IFERROR(Table_Custom_Input[[#This Row],[Number of Units]]*Table_Custom_Input[[#This Row],[Per-Unit Incentive]],"")</f>
        <v/>
      </c>
      <c r="L54" s="75" t="str">
        <f>IFERROR(Table_Custom_Input[[#This Row],[Number of Units]]*INDEX(Table_Prescript_Meas[Deemed kWh Savings], MATCH(Table_Custom_Input[[#This Row],[Measure Number]], Table_Prescript_Meas[Measure Number], 0)),"" )</f>
        <v/>
      </c>
      <c r="M54" s="81" t="str">
        <f>IFERROR(Table_Custom_Input[[#This Row],[Number of Units]]*INDEX(Table_Prescript_Meas[Deemed kW Savings], MATCH(Table_Custom_Input[[#This Row],[Measure Number]], Table_Prescript_Meas[Measure Number], 0)),"" )</f>
        <v/>
      </c>
      <c r="N54" s="74" t="str">
        <f>IFERROR(Table_Custom_Input[[#This Row],[Energy Savings (kWh)]]*Input_AvgkWhRate, "")</f>
        <v/>
      </c>
      <c r="O54" s="74" t="str">
        <f>IF(Table_Custom_Input[[#This Row],[Measure Number]]&lt;&gt;"",Table_Custom_Input[[#This Row],[Total Equipment Cost]]+Table_Custom_Input[[#This Row],[Total Labor Cost]],"")</f>
        <v/>
      </c>
      <c r="P54" s="74" t="str">
        <f>IF(Table_Custom_Input[[#This Row],[Measure Number]]="","",Table_Custom_Input[[#This Row],[Gross Measure Cost]]-Table_Custom_Input[[#This Row],[Estimated Incentive]])</f>
        <v/>
      </c>
      <c r="Q54" s="75" t="str">
        <f>IFERROR(Refrigeration!$P54/Refrigeration!$N54, "")</f>
        <v/>
      </c>
      <c r="R54"/>
      <c r="S54"/>
      <c r="T54"/>
      <c r="U54"/>
    </row>
    <row r="55" spans="2:21" s="15" customFormat="1" ht="15" x14ac:dyDescent="0.2">
      <c r="B55" s="69">
        <v>50</v>
      </c>
      <c r="C55" s="69" t="str">
        <f>IFERROR(INDEX(Table_Prescript_Meas[Measure Number], MATCH(Table_Custom_Input[[#This Row],[Refrigeration Measure]], Table_Prescript_Meas[Measure Description], 0)), "")</f>
        <v/>
      </c>
      <c r="D55" s="61"/>
      <c r="E55" s="60"/>
      <c r="F55" s="69" t="str">
        <f>IFERROR(INDEX(Table_Prescript_Meas[Units], MATCH(Table_Custom_Input[[#This Row],[Measure Number]], Table_Prescript_Meas[Measure Number], 0)), "")</f>
        <v/>
      </c>
      <c r="G55" s="60"/>
      <c r="H55" s="73"/>
      <c r="I55" s="73"/>
      <c r="J55" s="74" t="str">
        <f>IFERROR(IF(Input_ProgramType=References!$W$4, INDEX(Table_Prescript_Meas[Incentive - SC], MATCH(Table_Custom_Input[[#This Row],[Measure Number]], Table_Prescript_Meas[Measure Number], 0)), INDEX(Table_Prescript_Meas[Incentive - LC], MATCH(Table_Custom_Input[[#This Row],[Measure Number]], Table_Prescript_Meas[Measure Number], 0))), "")</f>
        <v/>
      </c>
      <c r="K55" s="74" t="str">
        <f>IFERROR(Table_Custom_Input[[#This Row],[Number of Units]]*Table_Custom_Input[[#This Row],[Per-Unit Incentive]],"")</f>
        <v/>
      </c>
      <c r="L55" s="75" t="str">
        <f>IFERROR(Table_Custom_Input[[#This Row],[Number of Units]]*INDEX(Table_Prescript_Meas[Deemed kWh Savings], MATCH(Table_Custom_Input[[#This Row],[Measure Number]], Table_Prescript_Meas[Measure Number], 0)),"" )</f>
        <v/>
      </c>
      <c r="M55" s="81" t="str">
        <f>IFERROR(Table_Custom_Input[[#This Row],[Number of Units]]*INDEX(Table_Prescript_Meas[Deemed kW Savings], MATCH(Table_Custom_Input[[#This Row],[Measure Number]], Table_Prescript_Meas[Measure Number], 0)),"" )</f>
        <v/>
      </c>
      <c r="N55" s="74" t="str">
        <f>IFERROR(Table_Custom_Input[[#This Row],[Energy Savings (kWh)]]*Input_AvgkWhRate, "")</f>
        <v/>
      </c>
      <c r="O55" s="74" t="str">
        <f>IF(Table_Custom_Input[[#This Row],[Measure Number]]&lt;&gt;"",Table_Custom_Input[[#This Row],[Total Equipment Cost]]+Table_Custom_Input[[#This Row],[Total Labor Cost]],"")</f>
        <v/>
      </c>
      <c r="P55" s="74" t="str">
        <f>IF(Table_Custom_Input[[#This Row],[Measure Number]]="","",Table_Custom_Input[[#This Row],[Gross Measure Cost]]-Table_Custom_Input[[#This Row],[Estimated Incentive]])</f>
        <v/>
      </c>
      <c r="Q55" s="75" t="str">
        <f>IFERROR(Refrigeration!$P55/Refrigeration!$N55, "")</f>
        <v/>
      </c>
      <c r="R55"/>
      <c r="S55"/>
      <c r="T55"/>
      <c r="U55"/>
    </row>
    <row r="56" spans="2:21" s="15" customFormat="1" ht="15" x14ac:dyDescent="0.2">
      <c r="B56" s="7"/>
      <c r="C56" s="7"/>
      <c r="D56" s="7"/>
      <c r="E56" s="7"/>
      <c r="F56" s="7"/>
      <c r="G56" s="7"/>
      <c r="H56" s="11"/>
      <c r="I56" s="11"/>
      <c r="J56" s="11"/>
      <c r="K56" s="7"/>
      <c r="L56" s="7"/>
      <c r="M56" s="7"/>
      <c r="N56" s="7"/>
      <c r="O56" s="7"/>
      <c r="P56" s="7"/>
      <c r="Q56" s="7"/>
      <c r="R56"/>
      <c r="S56"/>
      <c r="T56"/>
      <c r="U56"/>
    </row>
    <row r="57" spans="2:21" customFormat="1" x14ac:dyDescent="0.2"/>
    <row r="58" spans="2:21" customFormat="1" x14ac:dyDescent="0.2">
      <c r="B58" t="s">
        <v>11</v>
      </c>
    </row>
    <row r="59" spans="2:21" customFormat="1" x14ac:dyDescent="0.2">
      <c r="B59" t="str">
        <f>Value_Application_Version</f>
        <v>Version 3.1</v>
      </c>
    </row>
    <row r="60" spans="2:21" customFormat="1" x14ac:dyDescent="0.2"/>
    <row r="61" spans="2:21" s="15" customFormat="1" ht="15" x14ac:dyDescent="0.2">
      <c r="B61" s="7"/>
      <c r="C61" s="7"/>
      <c r="D61" s="7"/>
      <c r="E61" s="7"/>
      <c r="F61" s="7"/>
      <c r="G61" s="7"/>
      <c r="H61" s="11"/>
      <c r="I61" s="11"/>
      <c r="J61" s="11"/>
      <c r="K61" s="7"/>
      <c r="L61" s="7"/>
      <c r="M61" s="7"/>
      <c r="N61" s="7"/>
      <c r="O61" s="7"/>
      <c r="P61" s="7"/>
      <c r="Q61" s="7"/>
      <c r="R61"/>
      <c r="S61"/>
      <c r="T61"/>
      <c r="U61"/>
    </row>
    <row r="62" spans="2:21" s="15" customFormat="1" ht="15" x14ac:dyDescent="0.2">
      <c r="B62" s="7"/>
      <c r="C62" s="7"/>
      <c r="D62" s="7"/>
      <c r="E62" s="7"/>
      <c r="F62" s="7"/>
      <c r="G62" s="7"/>
      <c r="H62" s="11"/>
      <c r="I62" s="11"/>
      <c r="J62" s="11"/>
      <c r="K62" s="7"/>
      <c r="L62" s="7"/>
      <c r="M62" s="7"/>
      <c r="N62" s="7"/>
      <c r="O62" s="7"/>
      <c r="P62" s="7"/>
      <c r="Q62" s="7"/>
      <c r="R62"/>
      <c r="S62"/>
      <c r="T62"/>
      <c r="U62"/>
    </row>
    <row r="63" spans="2:21" s="15" customFormat="1" ht="15" x14ac:dyDescent="0.2">
      <c r="B63" s="7"/>
      <c r="C63" s="7"/>
      <c r="D63" s="7"/>
      <c r="E63" s="7"/>
      <c r="F63" s="7"/>
      <c r="G63" s="7"/>
      <c r="H63" s="11"/>
      <c r="I63" s="11"/>
      <c r="J63" s="11"/>
      <c r="K63" s="7"/>
      <c r="L63" s="7"/>
      <c r="M63" s="7"/>
      <c r="N63" s="7"/>
      <c r="O63" s="7"/>
      <c r="P63" s="7"/>
      <c r="Q63" s="7"/>
      <c r="R63"/>
      <c r="S63"/>
      <c r="T63"/>
      <c r="U63"/>
    </row>
    <row r="64" spans="2:21" s="15" customFormat="1" ht="15" x14ac:dyDescent="0.2">
      <c r="B64" s="7"/>
      <c r="C64" s="7"/>
      <c r="D64" s="7"/>
      <c r="E64" s="7"/>
      <c r="F64" s="7"/>
      <c r="G64" s="7"/>
      <c r="H64" s="11"/>
      <c r="I64" s="11"/>
      <c r="J64" s="11"/>
      <c r="K64" s="7"/>
      <c r="L64" s="7"/>
      <c r="M64" s="7"/>
      <c r="N64" s="7"/>
      <c r="O64" s="7"/>
      <c r="P64" s="7"/>
      <c r="Q64" s="7"/>
      <c r="R64"/>
      <c r="S64"/>
      <c r="T64"/>
      <c r="U64"/>
    </row>
    <row r="65" spans="2:21" s="15" customFormat="1" ht="15" x14ac:dyDescent="0.2">
      <c r="B65" s="7"/>
      <c r="C65" s="7"/>
      <c r="D65" s="7"/>
      <c r="E65" s="7"/>
      <c r="F65" s="7"/>
      <c r="G65" s="7"/>
      <c r="H65" s="11"/>
      <c r="I65" s="11"/>
      <c r="J65" s="11"/>
      <c r="K65" s="7"/>
      <c r="L65" s="7"/>
      <c r="M65" s="7"/>
      <c r="N65" s="7"/>
      <c r="O65" s="7"/>
      <c r="P65" s="7"/>
      <c r="Q65" s="7"/>
      <c r="R65"/>
      <c r="S65"/>
      <c r="T65"/>
      <c r="U65"/>
    </row>
    <row r="66" spans="2:21" s="15" customFormat="1" ht="15" x14ac:dyDescent="0.2">
      <c r="B66" s="7"/>
      <c r="C66" s="7"/>
      <c r="D66" s="7"/>
      <c r="E66" s="7"/>
      <c r="F66" s="7"/>
      <c r="G66" s="7"/>
      <c r="H66" s="11"/>
      <c r="I66" s="11"/>
      <c r="J66" s="11"/>
      <c r="K66" s="7"/>
      <c r="L66" s="7"/>
      <c r="M66" s="7"/>
      <c r="N66" s="7"/>
      <c r="O66" s="7"/>
      <c r="P66" s="7"/>
      <c r="Q66" s="7"/>
      <c r="R66"/>
      <c r="S66"/>
      <c r="T66"/>
      <c r="U66"/>
    </row>
    <row r="67" spans="2:21" s="15" customFormat="1" ht="15" x14ac:dyDescent="0.2">
      <c r="B67" s="7"/>
      <c r="C67" s="7"/>
      <c r="D67" s="7"/>
      <c r="E67" s="7"/>
      <c r="F67" s="7"/>
      <c r="G67" s="7"/>
      <c r="H67" s="11"/>
      <c r="I67" s="11"/>
      <c r="J67" s="11"/>
      <c r="K67" s="7"/>
      <c r="L67" s="7"/>
      <c r="M67" s="7"/>
      <c r="N67" s="7"/>
      <c r="O67" s="7"/>
      <c r="P67" s="7"/>
      <c r="Q67" s="7"/>
      <c r="R67"/>
      <c r="S67"/>
      <c r="T67"/>
      <c r="U67"/>
    </row>
    <row r="68" spans="2:21" s="15" customFormat="1" ht="15" x14ac:dyDescent="0.2">
      <c r="B68" s="7"/>
      <c r="C68" s="7"/>
      <c r="D68" s="7"/>
      <c r="E68" s="7"/>
      <c r="F68" s="7"/>
      <c r="G68" s="7"/>
      <c r="H68" s="11"/>
      <c r="I68" s="11"/>
      <c r="J68" s="11"/>
      <c r="K68" s="7"/>
      <c r="L68" s="7"/>
      <c r="M68" s="7"/>
      <c r="N68" s="7"/>
      <c r="O68" s="7"/>
      <c r="P68" s="7"/>
      <c r="Q68" s="7"/>
      <c r="R68"/>
      <c r="S68"/>
      <c r="T68"/>
      <c r="U68"/>
    </row>
    <row r="69" spans="2:21" s="15" customFormat="1" ht="15" x14ac:dyDescent="0.2">
      <c r="B69" s="7"/>
      <c r="C69" s="7"/>
      <c r="D69" s="7"/>
      <c r="E69" s="7"/>
      <c r="F69" s="7"/>
      <c r="G69" s="7"/>
      <c r="H69" s="11"/>
      <c r="I69" s="11"/>
      <c r="J69" s="11"/>
      <c r="K69" s="7"/>
      <c r="L69" s="7"/>
      <c r="M69" s="7"/>
      <c r="N69" s="7"/>
      <c r="O69" s="7"/>
      <c r="P69" s="7"/>
      <c r="Q69" s="7"/>
      <c r="R69"/>
      <c r="S69"/>
      <c r="T69"/>
      <c r="U69"/>
    </row>
    <row r="70" spans="2:21" s="15" customFormat="1" ht="15" x14ac:dyDescent="0.2">
      <c r="B70" s="7"/>
      <c r="C70" s="7"/>
      <c r="D70" s="7"/>
      <c r="E70" s="7"/>
      <c r="F70" s="7"/>
      <c r="G70" s="7"/>
      <c r="H70" s="11"/>
      <c r="I70" s="11"/>
      <c r="J70" s="11"/>
      <c r="K70" s="7"/>
      <c r="L70" s="7"/>
      <c r="M70" s="7"/>
      <c r="N70" s="7"/>
      <c r="O70" s="7"/>
      <c r="P70" s="7"/>
      <c r="Q70" s="7"/>
      <c r="R70"/>
      <c r="S70"/>
      <c r="T70"/>
      <c r="U70"/>
    </row>
    <row r="71" spans="2:21" s="15" customFormat="1" ht="15" x14ac:dyDescent="0.2">
      <c r="B71" s="7"/>
      <c r="C71" s="7"/>
      <c r="D71" s="7"/>
      <c r="E71" s="7"/>
      <c r="F71" s="7"/>
      <c r="G71" s="7"/>
      <c r="H71" s="11"/>
      <c r="I71" s="11"/>
      <c r="J71" s="11"/>
      <c r="K71" s="7"/>
      <c r="L71" s="7"/>
      <c r="M71" s="7"/>
      <c r="N71" s="7"/>
      <c r="O71" s="7"/>
      <c r="P71" s="7"/>
      <c r="Q71" s="7"/>
      <c r="R71"/>
      <c r="S71"/>
      <c r="T71"/>
      <c r="U71"/>
    </row>
    <row r="72" spans="2:21" s="15" customFormat="1" ht="15" x14ac:dyDescent="0.2">
      <c r="B72" s="7"/>
      <c r="C72" s="7"/>
      <c r="D72" s="7"/>
      <c r="E72" s="7"/>
      <c r="F72" s="7"/>
      <c r="G72" s="7"/>
      <c r="H72" s="11"/>
      <c r="I72" s="11"/>
      <c r="J72" s="11"/>
      <c r="K72" s="7"/>
      <c r="L72" s="7"/>
      <c r="M72" s="7"/>
      <c r="N72" s="7"/>
      <c r="O72" s="7"/>
      <c r="P72" s="7"/>
      <c r="Q72" s="7"/>
      <c r="R72"/>
      <c r="S72"/>
      <c r="T72"/>
      <c r="U72"/>
    </row>
    <row r="73" spans="2:21" s="15" customFormat="1" ht="15" x14ac:dyDescent="0.2">
      <c r="B73" s="7"/>
      <c r="C73" s="7"/>
      <c r="D73" s="7"/>
      <c r="E73" s="7"/>
      <c r="F73" s="7"/>
      <c r="G73" s="7"/>
      <c r="H73" s="11"/>
      <c r="I73" s="11"/>
      <c r="J73" s="11"/>
      <c r="K73" s="7"/>
      <c r="L73" s="7"/>
      <c r="M73" s="7"/>
      <c r="N73" s="7"/>
      <c r="O73" s="7"/>
      <c r="P73" s="7"/>
      <c r="Q73" s="7"/>
      <c r="R73"/>
      <c r="S73"/>
      <c r="T73"/>
      <c r="U73"/>
    </row>
    <row r="74" spans="2:21" s="15" customFormat="1" ht="15" x14ac:dyDescent="0.2">
      <c r="B74" s="7"/>
      <c r="C74" s="7"/>
      <c r="D74" s="7"/>
      <c r="E74" s="7"/>
      <c r="F74" s="7"/>
      <c r="G74" s="7"/>
      <c r="H74" s="11"/>
      <c r="I74" s="11"/>
      <c r="J74" s="11"/>
      <c r="K74" s="7"/>
      <c r="L74" s="7"/>
      <c r="M74" s="7"/>
      <c r="N74" s="7"/>
      <c r="O74" s="7"/>
      <c r="P74" s="7"/>
      <c r="Q74" s="7"/>
      <c r="R74"/>
      <c r="S74"/>
      <c r="T74"/>
      <c r="U74"/>
    </row>
    <row r="75" spans="2:21" s="15" customFormat="1" ht="15" x14ac:dyDescent="0.2">
      <c r="B75" s="7"/>
      <c r="C75" s="7"/>
      <c r="D75" s="7"/>
      <c r="E75" s="7"/>
      <c r="F75" s="7"/>
      <c r="G75" s="7"/>
      <c r="H75" s="11"/>
      <c r="I75" s="11"/>
      <c r="J75" s="11"/>
      <c r="K75" s="7"/>
      <c r="L75" s="7"/>
      <c r="M75" s="7"/>
      <c r="N75" s="7"/>
      <c r="O75" s="7"/>
      <c r="P75" s="7"/>
      <c r="Q75" s="7"/>
      <c r="R75"/>
      <c r="S75"/>
      <c r="T75"/>
      <c r="U75"/>
    </row>
    <row r="76" spans="2:21" s="15" customFormat="1" ht="15" x14ac:dyDescent="0.2">
      <c r="B76" s="7"/>
      <c r="C76" s="7"/>
      <c r="D76" s="7"/>
      <c r="E76" s="7"/>
      <c r="F76" s="7"/>
      <c r="G76" s="7"/>
      <c r="H76" s="11"/>
      <c r="I76" s="11"/>
      <c r="J76" s="11"/>
      <c r="K76" s="7"/>
      <c r="L76" s="7"/>
      <c r="M76" s="7"/>
      <c r="N76" s="7"/>
      <c r="O76" s="7"/>
      <c r="P76" s="7"/>
      <c r="Q76" s="7"/>
      <c r="R76"/>
      <c r="S76"/>
      <c r="T76"/>
      <c r="U76"/>
    </row>
    <row r="77" spans="2:21" s="15" customFormat="1" ht="15" x14ac:dyDescent="0.2">
      <c r="B77" s="7"/>
      <c r="C77" s="7"/>
      <c r="D77" s="7"/>
      <c r="E77" s="7"/>
      <c r="F77" s="7"/>
      <c r="G77" s="7"/>
      <c r="H77" s="11"/>
      <c r="I77" s="11"/>
      <c r="J77" s="11"/>
      <c r="K77" s="7"/>
      <c r="L77" s="7"/>
      <c r="M77" s="7"/>
      <c r="N77" s="7"/>
      <c r="O77" s="7"/>
      <c r="P77" s="7"/>
      <c r="Q77" s="7"/>
      <c r="R77"/>
      <c r="S77"/>
      <c r="T77"/>
      <c r="U77"/>
    </row>
    <row r="78" spans="2:21" s="15" customFormat="1" ht="15" x14ac:dyDescent="0.2">
      <c r="B78" s="7"/>
      <c r="C78" s="7"/>
      <c r="D78" s="7"/>
      <c r="E78" s="7"/>
      <c r="F78" s="7"/>
      <c r="G78" s="7"/>
      <c r="H78" s="11"/>
      <c r="I78" s="11"/>
      <c r="J78" s="11"/>
      <c r="K78" s="7"/>
      <c r="L78" s="7"/>
      <c r="M78" s="7"/>
      <c r="N78" s="7"/>
      <c r="O78" s="7"/>
      <c r="P78" s="7"/>
      <c r="Q78" s="7"/>
      <c r="R78"/>
      <c r="S78"/>
      <c r="T78"/>
      <c r="U78"/>
    </row>
    <row r="79" spans="2:21" s="15" customFormat="1" ht="15" x14ac:dyDescent="0.2">
      <c r="B79" s="7"/>
      <c r="C79" s="7"/>
      <c r="D79" s="7"/>
      <c r="E79" s="7"/>
      <c r="F79" s="7"/>
      <c r="G79" s="7"/>
      <c r="H79" s="11"/>
      <c r="I79" s="11"/>
      <c r="J79" s="11"/>
      <c r="K79" s="7"/>
      <c r="L79" s="7"/>
      <c r="M79" s="7"/>
      <c r="N79" s="7"/>
      <c r="O79" s="7"/>
      <c r="P79" s="7"/>
      <c r="Q79" s="7"/>
      <c r="R79"/>
      <c r="S79"/>
      <c r="T79"/>
      <c r="U79"/>
    </row>
    <row r="80" spans="2:21" s="15" customFormat="1" ht="15" x14ac:dyDescent="0.2">
      <c r="B80" s="7"/>
      <c r="C80" s="7"/>
      <c r="D80" s="7"/>
      <c r="E80" s="7"/>
      <c r="F80" s="7"/>
      <c r="G80" s="7"/>
      <c r="H80" s="11"/>
      <c r="I80" s="11"/>
      <c r="J80" s="11"/>
      <c r="K80" s="7"/>
      <c r="L80" s="7"/>
      <c r="M80" s="7"/>
      <c r="N80" s="7"/>
      <c r="O80" s="7"/>
      <c r="P80" s="7"/>
      <c r="Q80" s="7"/>
      <c r="R80"/>
      <c r="S80"/>
      <c r="T80"/>
      <c r="U80"/>
    </row>
    <row r="81" spans="2:21" s="15" customFormat="1" ht="15" x14ac:dyDescent="0.2">
      <c r="B81" s="7"/>
      <c r="C81" s="7"/>
      <c r="D81" s="7"/>
      <c r="E81" s="7"/>
      <c r="F81" s="7"/>
      <c r="G81" s="7"/>
      <c r="H81" s="11"/>
      <c r="I81" s="11"/>
      <c r="J81" s="11"/>
      <c r="K81" s="7"/>
      <c r="L81" s="7"/>
      <c r="M81" s="7"/>
      <c r="N81" s="7"/>
      <c r="O81" s="7"/>
      <c r="P81" s="7"/>
      <c r="Q81" s="7"/>
      <c r="R81"/>
      <c r="S81"/>
      <c r="T81"/>
      <c r="U81"/>
    </row>
    <row r="82" spans="2:21" s="15" customFormat="1" ht="15" x14ac:dyDescent="0.2">
      <c r="B82" s="7"/>
      <c r="C82" s="7"/>
      <c r="D82" s="7"/>
      <c r="E82" s="7"/>
      <c r="F82" s="7"/>
      <c r="G82" s="7"/>
      <c r="H82" s="11"/>
      <c r="I82" s="11"/>
      <c r="J82" s="11"/>
      <c r="K82" s="7"/>
      <c r="L82" s="7"/>
      <c r="M82" s="7"/>
      <c r="N82" s="7"/>
      <c r="O82" s="7"/>
      <c r="P82" s="7"/>
      <c r="Q82" s="7"/>
      <c r="R82"/>
      <c r="S82"/>
      <c r="T82"/>
      <c r="U82"/>
    </row>
    <row r="83" spans="2:21" s="15" customFormat="1" ht="15" x14ac:dyDescent="0.2">
      <c r="B83" s="7"/>
      <c r="C83" s="7"/>
      <c r="D83" s="7"/>
      <c r="E83" s="7"/>
      <c r="F83" s="7"/>
      <c r="G83" s="7"/>
      <c r="H83" s="11"/>
      <c r="I83" s="11"/>
      <c r="J83" s="11"/>
      <c r="K83" s="7"/>
      <c r="L83" s="7"/>
      <c r="M83" s="7"/>
      <c r="N83" s="7"/>
      <c r="O83" s="7"/>
      <c r="P83" s="7"/>
      <c r="Q83" s="7"/>
      <c r="R83"/>
      <c r="S83"/>
      <c r="T83"/>
      <c r="U83"/>
    </row>
    <row r="84" spans="2:21" s="15" customFormat="1" ht="15" x14ac:dyDescent="0.2">
      <c r="B84" s="7"/>
      <c r="C84" s="7"/>
      <c r="D84" s="7"/>
      <c r="E84" s="7"/>
      <c r="F84" s="7"/>
      <c r="G84" s="7"/>
      <c r="H84" s="11"/>
      <c r="I84" s="11"/>
      <c r="J84" s="11"/>
      <c r="K84" s="7"/>
      <c r="L84" s="7"/>
      <c r="M84" s="7"/>
      <c r="N84" s="7"/>
      <c r="O84" s="7"/>
      <c r="P84" s="7"/>
      <c r="Q84" s="7"/>
      <c r="R84"/>
      <c r="S84"/>
      <c r="T84"/>
      <c r="U84"/>
    </row>
    <row r="85" spans="2:21" s="15" customFormat="1" ht="15" x14ac:dyDescent="0.2">
      <c r="B85" s="7"/>
      <c r="C85" s="7"/>
      <c r="D85" s="7"/>
      <c r="E85" s="7"/>
      <c r="F85" s="7"/>
      <c r="G85" s="7"/>
      <c r="H85" s="11"/>
      <c r="I85" s="11"/>
      <c r="J85" s="11"/>
      <c r="K85" s="7"/>
      <c r="L85" s="7"/>
      <c r="M85" s="7"/>
      <c r="N85" s="7"/>
      <c r="O85" s="7"/>
      <c r="P85" s="7"/>
      <c r="Q85" s="7"/>
      <c r="R85"/>
      <c r="S85"/>
      <c r="T85"/>
      <c r="U85"/>
    </row>
    <row r="86" spans="2:21" s="15" customFormat="1" ht="15" x14ac:dyDescent="0.2">
      <c r="B86" s="7"/>
      <c r="C86" s="7"/>
      <c r="D86" s="7"/>
      <c r="E86" s="7"/>
      <c r="F86" s="7"/>
      <c r="G86" s="7"/>
      <c r="H86" s="11"/>
      <c r="I86" s="11"/>
      <c r="J86" s="11"/>
      <c r="K86" s="7"/>
      <c r="L86" s="7"/>
      <c r="M86" s="7"/>
      <c r="N86" s="7"/>
      <c r="O86" s="7"/>
      <c r="P86" s="7"/>
      <c r="Q86" s="7"/>
      <c r="R86"/>
      <c r="S86"/>
      <c r="T86"/>
      <c r="U86"/>
    </row>
    <row r="87" spans="2:21" s="15" customFormat="1" ht="15" x14ac:dyDescent="0.2">
      <c r="B87" s="7"/>
      <c r="C87" s="7"/>
      <c r="D87" s="7"/>
      <c r="E87" s="7"/>
      <c r="F87" s="7"/>
      <c r="G87" s="7"/>
      <c r="H87" s="11"/>
      <c r="I87" s="11"/>
      <c r="J87" s="11"/>
      <c r="K87" s="7"/>
      <c r="L87" s="7"/>
      <c r="M87" s="7"/>
      <c r="N87" s="7"/>
      <c r="O87" s="7"/>
      <c r="P87" s="7"/>
      <c r="Q87" s="7"/>
      <c r="R87"/>
      <c r="S87"/>
      <c r="T87"/>
      <c r="U87"/>
    </row>
    <row r="88" spans="2:21" s="15" customFormat="1" ht="15" x14ac:dyDescent="0.2">
      <c r="B88" s="7"/>
      <c r="C88" s="7"/>
      <c r="D88" s="7"/>
      <c r="E88" s="7"/>
      <c r="F88" s="7"/>
      <c r="G88" s="7"/>
      <c r="H88" s="11"/>
      <c r="I88" s="11"/>
      <c r="J88" s="11"/>
      <c r="K88" s="7"/>
      <c r="L88" s="7"/>
      <c r="M88" s="7"/>
      <c r="N88" s="7"/>
      <c r="O88" s="7"/>
      <c r="P88" s="7"/>
      <c r="Q88" s="7"/>
      <c r="R88"/>
      <c r="S88"/>
      <c r="T88"/>
      <c r="U88"/>
    </row>
    <row r="89" spans="2:21" s="15" customFormat="1" ht="15" x14ac:dyDescent="0.2">
      <c r="B89" s="7"/>
      <c r="C89" s="7"/>
      <c r="D89" s="7"/>
      <c r="E89" s="7"/>
      <c r="F89" s="7"/>
      <c r="G89" s="7"/>
      <c r="H89" s="11"/>
      <c r="I89" s="11"/>
      <c r="J89" s="11"/>
      <c r="K89" s="7"/>
      <c r="L89" s="7"/>
      <c r="M89" s="7"/>
      <c r="N89" s="7"/>
      <c r="O89" s="7"/>
      <c r="P89" s="7"/>
      <c r="Q89" s="7"/>
      <c r="R89"/>
      <c r="S89"/>
      <c r="T89"/>
      <c r="U89"/>
    </row>
    <row r="90" spans="2:21" s="15" customFormat="1" ht="15" x14ac:dyDescent="0.2">
      <c r="B90" s="7"/>
      <c r="C90" s="7"/>
      <c r="D90" s="7"/>
      <c r="E90" s="7"/>
      <c r="F90" s="7"/>
      <c r="G90" s="7"/>
      <c r="H90" s="11"/>
      <c r="I90" s="11"/>
      <c r="J90" s="11"/>
      <c r="K90" s="7"/>
      <c r="L90" s="7"/>
      <c r="M90" s="7"/>
      <c r="N90" s="7"/>
      <c r="O90" s="7"/>
      <c r="P90" s="7"/>
      <c r="Q90" s="7"/>
      <c r="R90"/>
      <c r="S90"/>
      <c r="T90"/>
      <c r="U90"/>
    </row>
    <row r="91" spans="2:21" s="15" customFormat="1" ht="15" x14ac:dyDescent="0.2">
      <c r="B91" s="7"/>
      <c r="C91" s="7"/>
      <c r="D91" s="7"/>
      <c r="E91" s="7"/>
      <c r="F91" s="7"/>
      <c r="G91" s="7"/>
      <c r="H91" s="11"/>
      <c r="I91" s="11"/>
      <c r="J91" s="11"/>
      <c r="K91" s="7"/>
      <c r="L91" s="7"/>
      <c r="M91" s="7"/>
      <c r="N91" s="7"/>
      <c r="O91" s="7"/>
      <c r="P91" s="7"/>
      <c r="Q91" s="7"/>
      <c r="R91"/>
      <c r="S91"/>
      <c r="T91"/>
      <c r="U91"/>
    </row>
    <row r="92" spans="2:21" s="15" customFormat="1" ht="15" x14ac:dyDescent="0.2">
      <c r="B92" s="7"/>
      <c r="C92" s="7"/>
      <c r="D92" s="7"/>
      <c r="E92" s="7"/>
      <c r="F92" s="7"/>
      <c r="G92" s="7"/>
      <c r="H92" s="11"/>
      <c r="I92" s="11"/>
      <c r="J92" s="11"/>
      <c r="K92" s="7"/>
      <c r="L92" s="7"/>
      <c r="M92" s="7"/>
      <c r="N92" s="7"/>
      <c r="O92" s="7"/>
      <c r="P92" s="7"/>
      <c r="Q92" s="7"/>
      <c r="R92"/>
      <c r="S92"/>
      <c r="T92"/>
      <c r="U92"/>
    </row>
    <row r="93" spans="2:21" s="15" customFormat="1" ht="15" x14ac:dyDescent="0.2">
      <c r="B93" s="7"/>
      <c r="C93" s="7"/>
      <c r="D93" s="7"/>
      <c r="E93" s="7"/>
      <c r="F93" s="7"/>
      <c r="G93" s="7"/>
      <c r="H93" s="11"/>
      <c r="I93" s="11"/>
      <c r="J93" s="11"/>
      <c r="K93" s="7"/>
      <c r="L93" s="7"/>
      <c r="M93" s="7"/>
      <c r="N93" s="7"/>
      <c r="O93" s="7"/>
      <c r="P93" s="7"/>
      <c r="Q93" s="7"/>
      <c r="R93"/>
      <c r="S93"/>
      <c r="T93"/>
      <c r="U93"/>
    </row>
    <row r="94" spans="2:21" s="15" customFormat="1" ht="15" x14ac:dyDescent="0.2">
      <c r="B94" s="7"/>
      <c r="C94" s="7"/>
      <c r="D94" s="7"/>
      <c r="E94" s="7"/>
      <c r="F94" s="7"/>
      <c r="G94" s="7"/>
      <c r="H94" s="11"/>
      <c r="I94" s="11"/>
      <c r="J94" s="11"/>
      <c r="K94" s="7"/>
      <c r="L94" s="7"/>
      <c r="M94" s="7"/>
      <c r="N94" s="7"/>
      <c r="O94" s="7"/>
      <c r="P94" s="7"/>
      <c r="Q94" s="7"/>
      <c r="R94"/>
      <c r="S94"/>
      <c r="T94"/>
      <c r="U94"/>
    </row>
    <row r="95" spans="2:21" s="15" customFormat="1" ht="15" x14ac:dyDescent="0.2">
      <c r="B95" s="7"/>
      <c r="C95" s="7"/>
      <c r="D95" s="7"/>
      <c r="E95" s="7"/>
      <c r="F95" s="7"/>
      <c r="G95" s="7"/>
      <c r="H95" s="11"/>
      <c r="I95" s="11"/>
      <c r="J95" s="11"/>
      <c r="K95" s="7"/>
      <c r="L95" s="7"/>
      <c r="M95" s="7"/>
      <c r="N95" s="7"/>
      <c r="O95" s="7"/>
      <c r="P95" s="7"/>
      <c r="Q95" s="7"/>
      <c r="R95"/>
      <c r="S95"/>
      <c r="T95"/>
      <c r="U95"/>
    </row>
    <row r="96" spans="2:21" s="15" customFormat="1" ht="15" x14ac:dyDescent="0.2">
      <c r="B96" s="7"/>
      <c r="C96" s="7"/>
      <c r="D96" s="7"/>
      <c r="E96" s="7"/>
      <c r="F96" s="7"/>
      <c r="G96" s="7"/>
      <c r="H96" s="11"/>
      <c r="I96" s="11"/>
      <c r="J96" s="11"/>
      <c r="K96" s="7"/>
      <c r="L96" s="7"/>
      <c r="M96" s="7"/>
      <c r="N96" s="7"/>
      <c r="O96" s="7"/>
      <c r="P96" s="7"/>
      <c r="Q96" s="7"/>
      <c r="R96"/>
      <c r="S96"/>
      <c r="T96"/>
      <c r="U96"/>
    </row>
    <row r="97" spans="2:21" s="15" customFormat="1" ht="15" x14ac:dyDescent="0.2">
      <c r="B97" s="7"/>
      <c r="C97" s="7"/>
      <c r="D97" s="7"/>
      <c r="E97" s="7"/>
      <c r="F97" s="7"/>
      <c r="G97" s="7"/>
      <c r="H97" s="11"/>
      <c r="I97" s="11"/>
      <c r="J97" s="11"/>
      <c r="K97" s="7"/>
      <c r="L97" s="7"/>
      <c r="M97" s="7"/>
      <c r="N97" s="7"/>
      <c r="O97" s="7"/>
      <c r="P97" s="7"/>
      <c r="Q97" s="7"/>
      <c r="R97"/>
      <c r="S97"/>
      <c r="T97"/>
      <c r="U97"/>
    </row>
    <row r="98" spans="2:21" s="15" customFormat="1" ht="15" x14ac:dyDescent="0.2">
      <c r="B98" s="7"/>
      <c r="C98" s="7"/>
      <c r="D98" s="7"/>
      <c r="E98" s="7"/>
      <c r="F98" s="7"/>
      <c r="G98" s="7"/>
      <c r="H98" s="11"/>
      <c r="I98" s="11"/>
      <c r="J98" s="11"/>
      <c r="K98" s="7"/>
      <c r="L98" s="7"/>
      <c r="M98" s="7"/>
      <c r="N98" s="7"/>
      <c r="O98" s="7"/>
      <c r="P98" s="7"/>
      <c r="Q98" s="7"/>
      <c r="R98"/>
      <c r="S98"/>
      <c r="T98"/>
      <c r="U98"/>
    </row>
    <row r="99" spans="2:21" s="15" customFormat="1" ht="15" x14ac:dyDescent="0.2">
      <c r="B99" s="7"/>
      <c r="C99" s="7"/>
      <c r="D99" s="7"/>
      <c r="E99" s="7"/>
      <c r="F99" s="7"/>
      <c r="G99" s="7"/>
      <c r="H99" s="11"/>
      <c r="I99" s="11"/>
      <c r="J99" s="11"/>
      <c r="K99" s="7"/>
      <c r="L99" s="7"/>
      <c r="M99" s="7"/>
      <c r="N99" s="7"/>
      <c r="O99" s="7"/>
      <c r="P99" s="7"/>
      <c r="Q99" s="7"/>
      <c r="R99"/>
      <c r="S99"/>
      <c r="T99"/>
      <c r="U99"/>
    </row>
    <row r="100" spans="2:21" s="15" customFormat="1" ht="15" x14ac:dyDescent="0.2">
      <c r="B100" s="7"/>
      <c r="C100" s="7"/>
      <c r="D100" s="7"/>
      <c r="E100" s="7"/>
      <c r="F100" s="7"/>
      <c r="G100" s="7"/>
      <c r="H100" s="11"/>
      <c r="I100" s="11"/>
      <c r="J100" s="11"/>
      <c r="K100" s="7"/>
      <c r="L100" s="7"/>
      <c r="M100" s="7"/>
      <c r="N100" s="7"/>
      <c r="O100" s="7"/>
      <c r="P100" s="7"/>
      <c r="Q100" s="7"/>
      <c r="R100"/>
      <c r="S100"/>
      <c r="T100"/>
      <c r="U100"/>
    </row>
    <row r="101" spans="2:21" s="15" customFormat="1" ht="15" x14ac:dyDescent="0.2">
      <c r="B101" s="7"/>
      <c r="C101" s="7"/>
      <c r="D101" s="7"/>
      <c r="E101" s="7"/>
      <c r="F101" s="7"/>
      <c r="G101" s="7"/>
      <c r="H101" s="11"/>
      <c r="I101" s="11"/>
      <c r="J101" s="11"/>
      <c r="K101" s="7"/>
      <c r="L101" s="7"/>
      <c r="M101" s="7"/>
      <c r="N101" s="7"/>
      <c r="O101" s="7"/>
      <c r="P101" s="7"/>
      <c r="Q101" s="7"/>
      <c r="R101"/>
      <c r="S101"/>
      <c r="T101"/>
      <c r="U101"/>
    </row>
    <row r="102" spans="2:21" s="15" customFormat="1" ht="15" x14ac:dyDescent="0.2">
      <c r="B102" s="7"/>
      <c r="C102" s="7"/>
      <c r="D102" s="7"/>
      <c r="E102" s="7"/>
      <c r="F102" s="7"/>
      <c r="G102" s="7"/>
      <c r="H102" s="11"/>
      <c r="I102" s="11"/>
      <c r="J102" s="11"/>
      <c r="K102" s="7"/>
      <c r="L102" s="7"/>
      <c r="M102" s="7"/>
      <c r="N102" s="7"/>
      <c r="O102" s="7"/>
      <c r="P102" s="7"/>
      <c r="Q102" s="7"/>
      <c r="R102"/>
      <c r="S102"/>
      <c r="T102"/>
      <c r="U102"/>
    </row>
    <row r="103" spans="2:21" s="15" customFormat="1" ht="15" x14ac:dyDescent="0.2">
      <c r="B103" s="7"/>
      <c r="C103" s="7"/>
      <c r="D103" s="7"/>
      <c r="E103" s="7"/>
      <c r="F103" s="7"/>
      <c r="G103" s="7"/>
      <c r="H103" s="11"/>
      <c r="I103" s="11"/>
      <c r="J103" s="11"/>
      <c r="K103" s="7"/>
      <c r="L103" s="7"/>
      <c r="M103" s="7"/>
      <c r="N103" s="7"/>
      <c r="O103" s="7"/>
      <c r="P103" s="7"/>
      <c r="Q103" s="7"/>
      <c r="R103"/>
      <c r="S103"/>
      <c r="T103"/>
      <c r="U103"/>
    </row>
    <row r="104" spans="2:21" s="15" customFormat="1" ht="15" x14ac:dyDescent="0.2">
      <c r="B104" s="7"/>
      <c r="C104" s="7"/>
      <c r="D104" s="7"/>
      <c r="E104" s="7"/>
      <c r="F104" s="7"/>
      <c r="G104" s="7"/>
      <c r="H104" s="11"/>
      <c r="I104" s="11"/>
      <c r="J104" s="11"/>
      <c r="K104" s="7"/>
      <c r="L104" s="7"/>
      <c r="M104" s="7"/>
      <c r="N104" s="7"/>
      <c r="O104" s="7"/>
      <c r="P104" s="7"/>
      <c r="Q104" s="7"/>
      <c r="R104"/>
      <c r="S104"/>
      <c r="T104"/>
      <c r="U104"/>
    </row>
    <row r="105" spans="2:21" s="15" customFormat="1" ht="15" x14ac:dyDescent="0.2">
      <c r="B105" s="7"/>
      <c r="C105" s="7"/>
      <c r="D105" s="7"/>
      <c r="E105" s="7"/>
      <c r="F105" s="7"/>
      <c r="G105" s="7"/>
      <c r="H105" s="11"/>
      <c r="I105" s="11"/>
      <c r="J105" s="11"/>
      <c r="K105" s="7"/>
      <c r="L105" s="7"/>
      <c r="M105" s="7"/>
      <c r="N105" s="7"/>
      <c r="O105" s="7"/>
      <c r="P105" s="7"/>
      <c r="Q105" s="7"/>
      <c r="R105"/>
      <c r="S105"/>
      <c r="T105"/>
      <c r="U105"/>
    </row>
  </sheetData>
  <sheetProtection algorithmName="SHA-512" hashValue="dW4FHnTLtTnrMTUQTTQUhc7jFask7hpP+m1jd34+OIC5Vw6sO7Gh2GjfK4Tss9RK9Q3hS2aqPuSDvYhjfivtrw==" saltValue="I3dCW1Gca0bUPLjaDPPe4A==" spinCount="100000" sheet="1" selectLockedCells="1"/>
  <mergeCells count="2">
    <mergeCell ref="G4:I4"/>
    <mergeCell ref="B1:N1"/>
  </mergeCells>
  <conditionalFormatting sqref="G6:J55">
    <cfRule type="expression" dxfId="216" priority="1">
      <formula>$E6=""</formula>
    </cfRule>
  </conditionalFormatting>
  <dataValidations count="1">
    <dataValidation type="list" allowBlank="1" showInputMessage="1" showErrorMessage="1" sqref="E6:E55" xr:uid="{41BA8FC9-3FD4-4BA8-9A37-35F713A619B4}">
      <formula1>List_Refrig_Measure</formula1>
    </dataValidation>
  </dataValidations>
  <pageMargins left="0.2" right="0.2" top="0.25" bottom="0.25" header="0.3" footer="0.3"/>
  <pageSetup scale="21" fitToHeight="0" orientation="landscape" verticalDpi="1200" r:id="rId1"/>
  <colBreaks count="1" manualBreakCount="1">
    <brk id="11" max="1048575" man="1"/>
  </colBreaks>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74DB1-2ABA-485B-B0EA-6BE8E261732D}">
  <sheetPr>
    <tabColor theme="4"/>
  </sheetPr>
  <dimension ref="A1:AM204"/>
  <sheetViews>
    <sheetView showGridLines="0" showRowColHeaders="0" workbookViewId="0">
      <selection activeCell="D5" sqref="D5"/>
    </sheetView>
  </sheetViews>
  <sheetFormatPr defaultColWidth="9.140625" defaultRowHeight="12.75" customHeight="1" x14ac:dyDescent="0.2"/>
  <cols>
    <col min="1" max="1" width="2.140625" customWidth="1"/>
    <col min="2" max="2" width="5.28515625" customWidth="1"/>
    <col min="3" max="3" width="8.140625" customWidth="1"/>
    <col min="4" max="4" width="17.28515625" customWidth="1"/>
    <col min="5" max="6" width="29.85546875" customWidth="1"/>
    <col min="7" max="7" width="11.5703125" customWidth="1"/>
    <col min="8" max="8" width="12.42578125" customWidth="1"/>
    <col min="9" max="9" width="9.85546875" customWidth="1"/>
    <col min="10" max="10" width="10" customWidth="1"/>
    <col min="11" max="11" width="11" customWidth="1"/>
    <col min="12" max="12" width="12" customWidth="1"/>
    <col min="13" max="13" width="11.85546875" customWidth="1"/>
    <col min="14" max="15" width="10.28515625" customWidth="1"/>
    <col min="16" max="16" width="13.42578125" customWidth="1"/>
    <col min="17" max="17" width="9.5703125" customWidth="1"/>
  </cols>
  <sheetData>
    <row r="1" spans="1:39" ht="37.5" customHeight="1" x14ac:dyDescent="0.2">
      <c r="B1" s="253" t="s">
        <v>107</v>
      </c>
      <c r="C1" s="253"/>
      <c r="D1" s="253"/>
      <c r="E1" s="253"/>
      <c r="F1" s="253"/>
      <c r="G1" s="253"/>
      <c r="H1" s="253"/>
      <c r="I1" s="253"/>
      <c r="J1" s="253"/>
      <c r="K1" s="253"/>
      <c r="L1" s="253"/>
      <c r="M1" s="253"/>
      <c r="N1" s="253"/>
      <c r="O1" s="151"/>
      <c r="P1" s="151"/>
      <c r="Q1" s="151"/>
    </row>
    <row r="2" spans="1:39" x14ac:dyDescent="0.2">
      <c r="K2" s="4"/>
    </row>
    <row r="3" spans="1:39" x14ac:dyDescent="0.2">
      <c r="A3" s="4"/>
      <c r="G3" s="282" t="s">
        <v>75</v>
      </c>
      <c r="H3" s="283"/>
      <c r="I3" s="284"/>
      <c r="J3" s="84" t="s">
        <v>76</v>
      </c>
      <c r="K3" s="145">
        <f>SUM(Table_Controls_Input[Estimated Incentive])</f>
        <v>0</v>
      </c>
      <c r="L3" s="83">
        <f>SUM(Table_Controls_Input[Energy Savings (kWh)])</f>
        <v>0</v>
      </c>
      <c r="M3" s="82">
        <f>SUM(Table_Controls_Input[Demand Reduction (kW)])</f>
        <v>0</v>
      </c>
      <c r="N3" s="146">
        <f>SUM(Table_Controls_Input[Cost Savings])</f>
        <v>0</v>
      </c>
      <c r="O3" s="146">
        <f>SUM(Table_Controls_Input[Gross Measure Cost])</f>
        <v>0</v>
      </c>
      <c r="P3" s="146">
        <f>SUM(Table_Controls_Input[Net Measure Cost])</f>
        <v>0</v>
      </c>
      <c r="Q3" s="83" t="str">
        <f>IFERROR(P3/N3,"")</f>
        <v/>
      </c>
      <c r="R3" s="4"/>
      <c r="S3" s="4"/>
      <c r="T3" s="4"/>
      <c r="U3" s="4"/>
      <c r="V3" s="4"/>
      <c r="W3" s="4"/>
      <c r="X3" s="4"/>
      <c r="Y3" s="4"/>
      <c r="Z3" s="4"/>
      <c r="AA3" s="4"/>
      <c r="AB3" s="4"/>
      <c r="AC3" s="4"/>
      <c r="AD3" s="4"/>
      <c r="AE3" s="4"/>
      <c r="AF3" s="4"/>
      <c r="AG3" s="4"/>
      <c r="AH3" s="4"/>
      <c r="AI3" s="4"/>
      <c r="AJ3" s="4"/>
      <c r="AK3" s="4"/>
      <c r="AL3" s="4"/>
      <c r="AM3" s="4"/>
    </row>
    <row r="4" spans="1:39" ht="38.25" x14ac:dyDescent="0.2">
      <c r="A4" s="16"/>
      <c r="B4" s="62" t="s">
        <v>77</v>
      </c>
      <c r="C4" s="63" t="s">
        <v>78</v>
      </c>
      <c r="D4" s="66" t="s">
        <v>79</v>
      </c>
      <c r="E4" s="63" t="s">
        <v>108</v>
      </c>
      <c r="F4" s="64" t="s">
        <v>81</v>
      </c>
      <c r="G4" s="65" t="s">
        <v>82</v>
      </c>
      <c r="H4" s="65" t="s">
        <v>86</v>
      </c>
      <c r="I4" s="65" t="s">
        <v>87</v>
      </c>
      <c r="J4" s="64" t="s">
        <v>88</v>
      </c>
      <c r="K4" s="64" t="s">
        <v>89</v>
      </c>
      <c r="L4" s="64" t="s">
        <v>90</v>
      </c>
      <c r="M4" s="64" t="s">
        <v>91</v>
      </c>
      <c r="N4" s="64" t="s">
        <v>92</v>
      </c>
      <c r="O4" s="64" t="s">
        <v>93</v>
      </c>
      <c r="P4" s="64" t="s">
        <v>94</v>
      </c>
      <c r="Q4" s="64" t="s">
        <v>95</v>
      </c>
      <c r="R4" s="16"/>
      <c r="S4" s="16"/>
      <c r="T4" s="16"/>
      <c r="U4" s="16"/>
      <c r="V4" s="16"/>
      <c r="W4" s="16"/>
      <c r="X4" s="16"/>
      <c r="Y4" s="16"/>
      <c r="Z4" s="16"/>
      <c r="AA4" s="16"/>
      <c r="AB4" s="16"/>
      <c r="AC4" s="16"/>
      <c r="AD4" s="16"/>
      <c r="AE4" s="16"/>
      <c r="AF4" s="16"/>
      <c r="AG4" s="16"/>
      <c r="AH4" s="16"/>
      <c r="AI4" s="16"/>
      <c r="AJ4" s="16"/>
      <c r="AK4" s="16"/>
      <c r="AL4" s="16"/>
      <c r="AM4" s="16"/>
    </row>
    <row r="5" spans="1:39" x14ac:dyDescent="0.2">
      <c r="A5" s="3"/>
      <c r="B5" s="71">
        <v>1</v>
      </c>
      <c r="C5" s="69" t="str">
        <f>IFERROR(INDEX(Table_Prescript_Meas[Measure Number], MATCH(E5, Table_Prescript_Meas[Measure Description], 0)), "")</f>
        <v/>
      </c>
      <c r="D5" s="61"/>
      <c r="E5" s="60"/>
      <c r="F5" s="69" t="str">
        <f>IFERROR(INDEX(Table_Prescript_Meas[Units], MATCH(Table_Controls_Input[[#This Row],[Measure Number]], Table_Prescript_Meas[Measure Number], 0)), "")</f>
        <v/>
      </c>
      <c r="G5" s="60"/>
      <c r="H5" s="73"/>
      <c r="I5" s="73"/>
      <c r="J5"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5" s="74" t="str">
        <f>IFERROR(Table_Controls_Input[[#This Row],[Number of Units]]*Table_Controls_Input[[#This Row],[Per-Unit Incentive]], "")</f>
        <v/>
      </c>
      <c r="L5" s="75" t="str">
        <f>IFERROR(Table_Controls_Input[[#This Row],[Number of Units]]*INDEX(Table_Prescript_Meas[Deemed kWh Savings], MATCH(Table_Controls_Input[[#This Row],[Measure Number]], Table_Prescript_Meas[Measure Number], 0)),"" )</f>
        <v/>
      </c>
      <c r="M5" s="81" t="str">
        <f>IFERROR(Table_Controls_Input[[#This Row],[Number of Units]]*INDEX(Table_Prescript_Meas[Deemed kW Savings], MATCH(Table_Controls_Input[[#This Row],[Measure Number]], Table_Prescript_Meas[Measure Number], 0)),"" )</f>
        <v/>
      </c>
      <c r="N5" s="74" t="str">
        <f t="shared" ref="N5" si="0">IFERROR(L5*Input_AvgkWhRate, "")</f>
        <v/>
      </c>
      <c r="O5" s="74" t="str">
        <f>IF(Table_Controls_Input[[#This Row],[Measure Number]]="", "", Table_Controls_Input[[#This Row],[Total Equipment Cost]]+Table_Controls_Input[[#This Row],[Total Labor Cost]])</f>
        <v/>
      </c>
      <c r="P5" s="74" t="str">
        <f>IFERROR(Table_Controls_Input[[#This Row],[Gross Measure Cost]]-Table_Controls_Input[[#This Row],[Estimated Incentive]], "")</f>
        <v/>
      </c>
      <c r="Q5" s="75" t="str">
        <f t="shared" ref="Q5:Q34" si="1">IFERROR($P5/$N5,"")</f>
        <v/>
      </c>
      <c r="R5" s="3"/>
      <c r="S5" s="3"/>
      <c r="T5" s="3"/>
      <c r="U5" s="3"/>
      <c r="V5" s="3"/>
      <c r="W5" s="3"/>
      <c r="X5" s="3"/>
      <c r="Y5" s="3"/>
      <c r="Z5" s="3"/>
      <c r="AA5" s="3"/>
      <c r="AB5" s="3"/>
      <c r="AC5" s="3"/>
      <c r="AD5" s="3"/>
      <c r="AE5" s="3"/>
      <c r="AF5" s="3"/>
      <c r="AG5" s="3"/>
      <c r="AH5" s="3"/>
      <c r="AI5" s="3"/>
      <c r="AJ5" s="3"/>
      <c r="AK5" s="3"/>
      <c r="AL5" s="3"/>
      <c r="AM5" s="3"/>
    </row>
    <row r="6" spans="1:39" x14ac:dyDescent="0.2">
      <c r="A6" s="3"/>
      <c r="B6" s="71">
        <v>2</v>
      </c>
      <c r="C6" s="69" t="str">
        <f>IFERROR(INDEX(Table_Prescript_Meas[Measure Number], MATCH(E6, Table_Prescript_Meas[Measure Description], 0)), "")</f>
        <v/>
      </c>
      <c r="D6" s="61"/>
      <c r="E6" s="60"/>
      <c r="F6" s="69" t="str">
        <f>IFERROR(INDEX(Table_Prescript_Meas[Units], MATCH(Table_Controls_Input[[#This Row],[Measure Number]], Table_Prescript_Meas[Measure Number], 0)), "")</f>
        <v/>
      </c>
      <c r="G6" s="60"/>
      <c r="H6" s="73"/>
      <c r="I6" s="73"/>
      <c r="J6"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6" s="74" t="str">
        <f>IFERROR(Table_Controls_Input[[#This Row],[Number of Units]]*Table_Controls_Input[[#This Row],[Per-Unit Incentive]], "")</f>
        <v/>
      </c>
      <c r="L6" s="75" t="str">
        <f>IFERROR(Table_Controls_Input[[#This Row],[Number of Units]]*INDEX(Table_Prescript_Meas[Deemed kWh Savings], MATCH(Table_Controls_Input[[#This Row],[Measure Number]], Table_Prescript_Meas[Measure Number], 0)),"" )</f>
        <v/>
      </c>
      <c r="M6" s="81" t="str">
        <f>IFERROR(Table_Controls_Input[[#This Row],[Number of Units]]*INDEX(Table_Prescript_Meas[Deemed kW Savings], MATCH(Table_Controls_Input[[#This Row],[Measure Number]], Table_Prescript_Meas[Measure Number], 0)),"" )</f>
        <v/>
      </c>
      <c r="N6" s="74" t="str">
        <f t="shared" ref="N6:N34" si="2">IFERROR(L6*Input_AvgkWhRate, "")</f>
        <v/>
      </c>
      <c r="O6" s="74" t="str">
        <f>IF(Table_Controls_Input[[#This Row],[Measure Number]]="", "", Table_Controls_Input[[#This Row],[Total Equipment Cost]]+Table_Controls_Input[[#This Row],[Total Labor Cost]])</f>
        <v/>
      </c>
      <c r="P6" s="74" t="str">
        <f>IFERROR(Table_Controls_Input[[#This Row],[Gross Measure Cost]]-Table_Controls_Input[[#This Row],[Estimated Incentive]], "")</f>
        <v/>
      </c>
      <c r="Q6" s="75" t="str">
        <f t="shared" si="1"/>
        <v/>
      </c>
      <c r="R6" s="3"/>
      <c r="S6" s="3"/>
      <c r="T6" s="3"/>
      <c r="U6" s="3"/>
      <c r="V6" s="3"/>
      <c r="W6" s="3"/>
      <c r="X6" s="3"/>
      <c r="Y6" s="3"/>
      <c r="Z6" s="3"/>
      <c r="AA6" s="3"/>
      <c r="AB6" s="3"/>
      <c r="AC6" s="3"/>
      <c r="AD6" s="3"/>
      <c r="AE6" s="3"/>
      <c r="AF6" s="3"/>
      <c r="AG6" s="3"/>
      <c r="AH6" s="3"/>
      <c r="AI6" s="3"/>
      <c r="AJ6" s="3"/>
      <c r="AK6" s="3"/>
      <c r="AL6" s="3"/>
      <c r="AM6" s="3"/>
    </row>
    <row r="7" spans="1:39" x14ac:dyDescent="0.2">
      <c r="A7" s="3"/>
      <c r="B7" s="71">
        <v>3</v>
      </c>
      <c r="C7" s="69" t="str">
        <f>IFERROR(INDEX(Table_Prescript_Meas[Measure Number], MATCH(E7, Table_Prescript_Meas[Measure Description], 0)), "")</f>
        <v/>
      </c>
      <c r="D7" s="61"/>
      <c r="E7" s="60"/>
      <c r="F7" s="69" t="str">
        <f>IFERROR(INDEX(Table_Prescript_Meas[Units], MATCH(Table_Controls_Input[[#This Row],[Measure Number]], Table_Prescript_Meas[Measure Number], 0)), "")</f>
        <v/>
      </c>
      <c r="G7" s="60"/>
      <c r="H7" s="73"/>
      <c r="I7" s="73"/>
      <c r="J7"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7" s="74" t="str">
        <f>IFERROR(Table_Controls_Input[[#This Row],[Number of Units]]*Table_Controls_Input[[#This Row],[Per-Unit Incentive]], "")</f>
        <v/>
      </c>
      <c r="L7" s="75" t="str">
        <f>IFERROR(Table_Controls_Input[[#This Row],[Number of Units]]*INDEX(Table_Prescript_Meas[Deemed kWh Savings], MATCH(Table_Controls_Input[[#This Row],[Measure Number]], Table_Prescript_Meas[Measure Number], 0)),"" )</f>
        <v/>
      </c>
      <c r="M7" s="81" t="str">
        <f>IFERROR(Table_Controls_Input[[#This Row],[Number of Units]]*INDEX(Table_Prescript_Meas[Deemed kW Savings], MATCH(Table_Controls_Input[[#This Row],[Measure Number]], Table_Prescript_Meas[Measure Number], 0)),"" )</f>
        <v/>
      </c>
      <c r="N7" s="74" t="str">
        <f t="shared" si="2"/>
        <v/>
      </c>
      <c r="O7" s="74" t="str">
        <f>IF(Table_Controls_Input[[#This Row],[Measure Number]]="", "", Table_Controls_Input[[#This Row],[Total Equipment Cost]]+Table_Controls_Input[[#This Row],[Total Labor Cost]])</f>
        <v/>
      </c>
      <c r="P7" s="74" t="str">
        <f>IFERROR(Table_Controls_Input[[#This Row],[Gross Measure Cost]]-Table_Controls_Input[[#This Row],[Estimated Incentive]], "")</f>
        <v/>
      </c>
      <c r="Q7" s="75" t="str">
        <f t="shared" si="1"/>
        <v/>
      </c>
      <c r="R7" s="3"/>
      <c r="S7" s="3"/>
      <c r="T7" s="3"/>
      <c r="U7" s="3"/>
      <c r="V7" s="3"/>
      <c r="W7" s="3"/>
      <c r="X7" s="3"/>
      <c r="Y7" s="3"/>
      <c r="Z7" s="3"/>
      <c r="AA7" s="3"/>
      <c r="AB7" s="3"/>
      <c r="AC7" s="3"/>
      <c r="AD7" s="3"/>
      <c r="AE7" s="3"/>
      <c r="AF7" s="3"/>
      <c r="AG7" s="3"/>
      <c r="AH7" s="3"/>
      <c r="AI7" s="3"/>
      <c r="AJ7" s="3"/>
      <c r="AK7" s="3"/>
      <c r="AL7" s="3"/>
      <c r="AM7" s="3"/>
    </row>
    <row r="8" spans="1:39" x14ac:dyDescent="0.2">
      <c r="A8" s="3"/>
      <c r="B8" s="71">
        <v>4</v>
      </c>
      <c r="C8" s="69" t="str">
        <f>IFERROR(INDEX(Table_Prescript_Meas[Measure Number], MATCH(E8, Table_Prescript_Meas[Measure Description], 0)), "")</f>
        <v/>
      </c>
      <c r="D8" s="61"/>
      <c r="E8" s="60"/>
      <c r="F8" s="69" t="str">
        <f>IFERROR(INDEX(Table_Prescript_Meas[Units], MATCH(Table_Controls_Input[[#This Row],[Measure Number]], Table_Prescript_Meas[Measure Number], 0)), "")</f>
        <v/>
      </c>
      <c r="G8" s="60"/>
      <c r="H8" s="73"/>
      <c r="I8" s="73"/>
      <c r="J8"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8" s="74" t="str">
        <f>IFERROR(Table_Controls_Input[[#This Row],[Number of Units]]*Table_Controls_Input[[#This Row],[Per-Unit Incentive]], "")</f>
        <v/>
      </c>
      <c r="L8" s="75" t="str">
        <f>IFERROR(Table_Controls_Input[[#This Row],[Number of Units]]*INDEX(Table_Prescript_Meas[Deemed kWh Savings], MATCH(Table_Controls_Input[[#This Row],[Measure Number]], Table_Prescript_Meas[Measure Number], 0)),"" )</f>
        <v/>
      </c>
      <c r="M8" s="81" t="str">
        <f>IFERROR(Table_Controls_Input[[#This Row],[Number of Units]]*INDEX(Table_Prescript_Meas[Deemed kW Savings], MATCH(Table_Controls_Input[[#This Row],[Measure Number]], Table_Prescript_Meas[Measure Number], 0)),"" )</f>
        <v/>
      </c>
      <c r="N8" s="74" t="str">
        <f t="shared" si="2"/>
        <v/>
      </c>
      <c r="O8" s="74" t="str">
        <f>IF(Table_Controls_Input[[#This Row],[Measure Number]]="", "", Table_Controls_Input[[#This Row],[Total Equipment Cost]]+Table_Controls_Input[[#This Row],[Total Labor Cost]])</f>
        <v/>
      </c>
      <c r="P8" s="74" t="str">
        <f>IFERROR(Table_Controls_Input[[#This Row],[Gross Measure Cost]]-Table_Controls_Input[[#This Row],[Estimated Incentive]], "")</f>
        <v/>
      </c>
      <c r="Q8" s="75" t="str">
        <f t="shared" si="1"/>
        <v/>
      </c>
      <c r="R8" s="3"/>
      <c r="S8" s="3"/>
      <c r="T8" s="3"/>
      <c r="U8" s="3"/>
      <c r="V8" s="3"/>
      <c r="W8" s="3"/>
      <c r="X8" s="3"/>
      <c r="Y8" s="3"/>
      <c r="Z8" s="3"/>
      <c r="AA8" s="3"/>
      <c r="AB8" s="3"/>
      <c r="AC8" s="3"/>
      <c r="AD8" s="3"/>
      <c r="AE8" s="3"/>
      <c r="AF8" s="3"/>
      <c r="AG8" s="3"/>
      <c r="AH8" s="3"/>
      <c r="AI8" s="3"/>
      <c r="AJ8" s="3"/>
      <c r="AK8" s="3"/>
      <c r="AL8" s="3"/>
      <c r="AM8" s="3"/>
    </row>
    <row r="9" spans="1:39" x14ac:dyDescent="0.2">
      <c r="A9" s="3"/>
      <c r="B9" s="71">
        <v>5</v>
      </c>
      <c r="C9" s="69" t="str">
        <f>IFERROR(INDEX(Table_Prescript_Meas[Measure Number], MATCH(E9, Table_Prescript_Meas[Measure Description], 0)), "")</f>
        <v/>
      </c>
      <c r="D9" s="61"/>
      <c r="E9" s="60"/>
      <c r="F9" s="69" t="str">
        <f>IFERROR(INDEX(Table_Prescript_Meas[Units], MATCH(Table_Controls_Input[[#This Row],[Measure Number]], Table_Prescript_Meas[Measure Number], 0)), "")</f>
        <v/>
      </c>
      <c r="G9" s="60"/>
      <c r="H9" s="73"/>
      <c r="I9" s="73"/>
      <c r="J9"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9" s="74" t="str">
        <f>IFERROR(Table_Controls_Input[[#This Row],[Number of Units]]*Table_Controls_Input[[#This Row],[Per-Unit Incentive]], "")</f>
        <v/>
      </c>
      <c r="L9" s="75" t="str">
        <f>IFERROR(Table_Controls_Input[[#This Row],[Number of Units]]*INDEX(Table_Prescript_Meas[Deemed kWh Savings], MATCH(Table_Controls_Input[[#This Row],[Measure Number]], Table_Prescript_Meas[Measure Number], 0)),"" )</f>
        <v/>
      </c>
      <c r="M9" s="81" t="str">
        <f>IFERROR(Table_Controls_Input[[#This Row],[Number of Units]]*INDEX(Table_Prescript_Meas[Deemed kW Savings], MATCH(Table_Controls_Input[[#This Row],[Measure Number]], Table_Prescript_Meas[Measure Number], 0)),"" )</f>
        <v/>
      </c>
      <c r="N9" s="74" t="str">
        <f t="shared" si="2"/>
        <v/>
      </c>
      <c r="O9" s="74" t="str">
        <f>IF(Table_Controls_Input[[#This Row],[Measure Number]]="", "", Table_Controls_Input[[#This Row],[Total Equipment Cost]]+Table_Controls_Input[[#This Row],[Total Labor Cost]])</f>
        <v/>
      </c>
      <c r="P9" s="74" t="str">
        <f>IFERROR(Table_Controls_Input[[#This Row],[Gross Measure Cost]]-Table_Controls_Input[[#This Row],[Estimated Incentive]], "")</f>
        <v/>
      </c>
      <c r="Q9" s="75" t="str">
        <f t="shared" si="1"/>
        <v/>
      </c>
      <c r="R9" s="3"/>
      <c r="S9" s="3"/>
      <c r="T9" s="3"/>
      <c r="U9" s="3"/>
      <c r="V9" s="3"/>
      <c r="W9" s="3"/>
      <c r="X9" s="3"/>
      <c r="Y9" s="3"/>
      <c r="Z9" s="3"/>
      <c r="AA9" s="3"/>
      <c r="AB9" s="3"/>
      <c r="AC9" s="3"/>
      <c r="AD9" s="3"/>
      <c r="AE9" s="3"/>
      <c r="AF9" s="3"/>
      <c r="AG9" s="3"/>
      <c r="AH9" s="3"/>
      <c r="AI9" s="3"/>
      <c r="AJ9" s="3"/>
      <c r="AK9" s="3"/>
      <c r="AL9" s="3"/>
      <c r="AM9" s="3"/>
    </row>
    <row r="10" spans="1:39" x14ac:dyDescent="0.2">
      <c r="A10" s="3"/>
      <c r="B10" s="71">
        <v>6</v>
      </c>
      <c r="C10" s="69" t="str">
        <f>IFERROR(INDEX(Table_Prescript_Meas[Measure Number], MATCH(E10, Table_Prescript_Meas[Measure Description], 0)), "")</f>
        <v/>
      </c>
      <c r="D10" s="61"/>
      <c r="E10" s="60"/>
      <c r="F10" s="69" t="str">
        <f>IFERROR(INDEX(Table_Prescript_Meas[Units], MATCH(Table_Controls_Input[[#This Row],[Measure Number]], Table_Prescript_Meas[Measure Number], 0)), "")</f>
        <v/>
      </c>
      <c r="G10" s="60"/>
      <c r="H10" s="73"/>
      <c r="I10" s="73"/>
      <c r="J10"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10" s="74" t="str">
        <f>IFERROR(Table_Controls_Input[[#This Row],[Number of Units]]*Table_Controls_Input[[#This Row],[Per-Unit Incentive]], "")</f>
        <v/>
      </c>
      <c r="L10" s="75" t="str">
        <f>IFERROR(Table_Controls_Input[[#This Row],[Number of Units]]*INDEX(Table_Prescript_Meas[Deemed kWh Savings], MATCH(Table_Controls_Input[[#This Row],[Measure Number]], Table_Prescript_Meas[Measure Number], 0)),"" )</f>
        <v/>
      </c>
      <c r="M10" s="81" t="str">
        <f>IFERROR(Table_Controls_Input[[#This Row],[Number of Units]]*INDEX(Table_Prescript_Meas[Deemed kW Savings], MATCH(Table_Controls_Input[[#This Row],[Measure Number]], Table_Prescript_Meas[Measure Number], 0)),"" )</f>
        <v/>
      </c>
      <c r="N10" s="74" t="str">
        <f t="shared" si="2"/>
        <v/>
      </c>
      <c r="O10" s="74" t="str">
        <f>IF(Table_Controls_Input[[#This Row],[Measure Number]]="", "", Table_Controls_Input[[#This Row],[Total Equipment Cost]]+Table_Controls_Input[[#This Row],[Total Labor Cost]])</f>
        <v/>
      </c>
      <c r="P10" s="74" t="str">
        <f>IFERROR(Table_Controls_Input[[#This Row],[Gross Measure Cost]]-Table_Controls_Input[[#This Row],[Estimated Incentive]], "")</f>
        <v/>
      </c>
      <c r="Q10" s="75" t="str">
        <f t="shared" si="1"/>
        <v/>
      </c>
      <c r="R10" s="3"/>
      <c r="S10" s="3"/>
      <c r="T10" s="3"/>
      <c r="U10" s="3"/>
      <c r="V10" s="3"/>
      <c r="W10" s="3"/>
      <c r="X10" s="3"/>
      <c r="Y10" s="3"/>
      <c r="Z10" s="3"/>
      <c r="AA10" s="3"/>
      <c r="AB10" s="3"/>
      <c r="AC10" s="3"/>
      <c r="AD10" s="3"/>
      <c r="AE10" s="3"/>
      <c r="AF10" s="3"/>
      <c r="AG10" s="3"/>
      <c r="AH10" s="3"/>
      <c r="AI10" s="3"/>
      <c r="AJ10" s="3"/>
      <c r="AK10" s="3"/>
      <c r="AL10" s="3"/>
      <c r="AM10" s="3"/>
    </row>
    <row r="11" spans="1:39" x14ac:dyDescent="0.2">
      <c r="A11" s="3"/>
      <c r="B11" s="71">
        <v>7</v>
      </c>
      <c r="C11" s="69" t="str">
        <f>IFERROR(INDEX(Table_Prescript_Meas[Measure Number], MATCH(E11, Table_Prescript_Meas[Measure Description], 0)), "")</f>
        <v/>
      </c>
      <c r="D11" s="61"/>
      <c r="E11" s="60"/>
      <c r="F11" s="69" t="str">
        <f>IFERROR(INDEX(Table_Prescript_Meas[Units], MATCH(Table_Controls_Input[[#This Row],[Measure Number]], Table_Prescript_Meas[Measure Number], 0)), "")</f>
        <v/>
      </c>
      <c r="G11" s="60"/>
      <c r="H11" s="73"/>
      <c r="I11" s="73"/>
      <c r="J11"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11" s="74" t="str">
        <f>IFERROR(Table_Controls_Input[[#This Row],[Number of Units]]*Table_Controls_Input[[#This Row],[Per-Unit Incentive]], "")</f>
        <v/>
      </c>
      <c r="L11" s="75" t="str">
        <f>IFERROR(Table_Controls_Input[[#This Row],[Number of Units]]*INDEX(Table_Prescript_Meas[Deemed kWh Savings], MATCH(Table_Controls_Input[[#This Row],[Measure Number]], Table_Prescript_Meas[Measure Number], 0)),"" )</f>
        <v/>
      </c>
      <c r="M11" s="81" t="str">
        <f>IFERROR(Table_Controls_Input[[#This Row],[Number of Units]]*INDEX(Table_Prescript_Meas[Deemed kW Savings], MATCH(Table_Controls_Input[[#This Row],[Measure Number]], Table_Prescript_Meas[Measure Number], 0)),"" )</f>
        <v/>
      </c>
      <c r="N11" s="74" t="str">
        <f t="shared" si="2"/>
        <v/>
      </c>
      <c r="O11" s="74" t="str">
        <f>IF(Table_Controls_Input[[#This Row],[Measure Number]]="", "", Table_Controls_Input[[#This Row],[Total Equipment Cost]]+Table_Controls_Input[[#This Row],[Total Labor Cost]])</f>
        <v/>
      </c>
      <c r="P11" s="74" t="str">
        <f>IFERROR(Table_Controls_Input[[#This Row],[Gross Measure Cost]]-Table_Controls_Input[[#This Row],[Estimated Incentive]], "")</f>
        <v/>
      </c>
      <c r="Q11" s="75" t="str">
        <f t="shared" si="1"/>
        <v/>
      </c>
      <c r="R11" s="3"/>
      <c r="S11" s="3"/>
      <c r="T11" s="3"/>
      <c r="U11" s="3"/>
      <c r="V11" s="3"/>
      <c r="W11" s="3"/>
      <c r="X11" s="3"/>
      <c r="Y11" s="3"/>
      <c r="Z11" s="3"/>
      <c r="AA11" s="3"/>
      <c r="AB11" s="3"/>
      <c r="AC11" s="3"/>
      <c r="AD11" s="3"/>
      <c r="AE11" s="3"/>
      <c r="AF11" s="3"/>
      <c r="AG11" s="3"/>
      <c r="AH11" s="3"/>
      <c r="AI11" s="3"/>
      <c r="AJ11" s="3"/>
      <c r="AK11" s="3"/>
      <c r="AL11" s="3"/>
      <c r="AM11" s="3"/>
    </row>
    <row r="12" spans="1:39" x14ac:dyDescent="0.2">
      <c r="A12" s="3"/>
      <c r="B12" s="71">
        <v>8</v>
      </c>
      <c r="C12" s="69" t="str">
        <f>IFERROR(INDEX(Table_Prescript_Meas[Measure Number], MATCH(E12, Table_Prescript_Meas[Measure Description], 0)), "")</f>
        <v/>
      </c>
      <c r="D12" s="61"/>
      <c r="E12" s="60"/>
      <c r="F12" s="69" t="str">
        <f>IFERROR(INDEX(Table_Prescript_Meas[Units], MATCH(Table_Controls_Input[[#This Row],[Measure Number]], Table_Prescript_Meas[Measure Number], 0)), "")</f>
        <v/>
      </c>
      <c r="G12" s="60"/>
      <c r="H12" s="73"/>
      <c r="I12" s="73"/>
      <c r="J12"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12" s="74" t="str">
        <f>IFERROR(Table_Controls_Input[[#This Row],[Number of Units]]*Table_Controls_Input[[#This Row],[Per-Unit Incentive]], "")</f>
        <v/>
      </c>
      <c r="L12" s="75" t="str">
        <f>IFERROR(Table_Controls_Input[[#This Row],[Number of Units]]*INDEX(Table_Prescript_Meas[Deemed kWh Savings], MATCH(Table_Controls_Input[[#This Row],[Measure Number]], Table_Prescript_Meas[Measure Number], 0)),"" )</f>
        <v/>
      </c>
      <c r="M12" s="81" t="str">
        <f>IFERROR(Table_Controls_Input[[#This Row],[Number of Units]]*INDEX(Table_Prescript_Meas[Deemed kW Savings], MATCH(Table_Controls_Input[[#This Row],[Measure Number]], Table_Prescript_Meas[Measure Number], 0)),"" )</f>
        <v/>
      </c>
      <c r="N12" s="74" t="str">
        <f t="shared" si="2"/>
        <v/>
      </c>
      <c r="O12" s="74" t="str">
        <f>IF(Table_Controls_Input[[#This Row],[Measure Number]]="", "", Table_Controls_Input[[#This Row],[Total Equipment Cost]]+Table_Controls_Input[[#This Row],[Total Labor Cost]])</f>
        <v/>
      </c>
      <c r="P12" s="74" t="str">
        <f>IFERROR(Table_Controls_Input[[#This Row],[Gross Measure Cost]]-Table_Controls_Input[[#This Row],[Estimated Incentive]], "")</f>
        <v/>
      </c>
      <c r="Q12" s="75" t="str">
        <f t="shared" si="1"/>
        <v/>
      </c>
      <c r="R12" s="3"/>
      <c r="S12" s="3"/>
      <c r="T12" s="3"/>
      <c r="U12" s="3"/>
      <c r="V12" s="3"/>
      <c r="W12" s="3"/>
      <c r="X12" s="3"/>
      <c r="Y12" s="3"/>
      <c r="Z12" s="3"/>
      <c r="AA12" s="3"/>
      <c r="AB12" s="3"/>
      <c r="AC12" s="3"/>
      <c r="AD12" s="3"/>
      <c r="AE12" s="3"/>
      <c r="AF12" s="3"/>
      <c r="AG12" s="3"/>
      <c r="AH12" s="3"/>
      <c r="AI12" s="3"/>
      <c r="AJ12" s="3"/>
      <c r="AK12" s="3"/>
      <c r="AL12" s="3"/>
      <c r="AM12" s="3"/>
    </row>
    <row r="13" spans="1:39" x14ac:dyDescent="0.2">
      <c r="A13" s="3"/>
      <c r="B13" s="71">
        <v>9</v>
      </c>
      <c r="C13" s="69" t="str">
        <f>IFERROR(INDEX(Table_Prescript_Meas[Measure Number], MATCH(E13, Table_Prescript_Meas[Measure Description], 0)), "")</f>
        <v/>
      </c>
      <c r="D13" s="61"/>
      <c r="E13" s="60"/>
      <c r="F13" s="69" t="str">
        <f>IFERROR(INDEX(Table_Prescript_Meas[Units], MATCH(Table_Controls_Input[[#This Row],[Measure Number]], Table_Prescript_Meas[Measure Number], 0)), "")</f>
        <v/>
      </c>
      <c r="G13" s="60"/>
      <c r="H13" s="73"/>
      <c r="I13" s="73"/>
      <c r="J13"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13" s="74" t="str">
        <f>IFERROR(Table_Controls_Input[[#This Row],[Number of Units]]*Table_Controls_Input[[#This Row],[Per-Unit Incentive]], "")</f>
        <v/>
      </c>
      <c r="L13" s="75" t="str">
        <f>IFERROR(Table_Controls_Input[[#This Row],[Number of Units]]*INDEX(Table_Prescript_Meas[Deemed kWh Savings], MATCH(Table_Controls_Input[[#This Row],[Measure Number]], Table_Prescript_Meas[Measure Number], 0)),"" )</f>
        <v/>
      </c>
      <c r="M13" s="81" t="str">
        <f>IFERROR(Table_Controls_Input[[#This Row],[Number of Units]]*INDEX(Table_Prescript_Meas[Deemed kW Savings], MATCH(Table_Controls_Input[[#This Row],[Measure Number]], Table_Prescript_Meas[Measure Number], 0)),"" )</f>
        <v/>
      </c>
      <c r="N13" s="74" t="str">
        <f t="shared" si="2"/>
        <v/>
      </c>
      <c r="O13" s="74" t="str">
        <f>IF(Table_Controls_Input[[#This Row],[Measure Number]]="", "", Table_Controls_Input[[#This Row],[Total Equipment Cost]]+Table_Controls_Input[[#This Row],[Total Labor Cost]])</f>
        <v/>
      </c>
      <c r="P13" s="74" t="str">
        <f>IFERROR(Table_Controls_Input[[#This Row],[Gross Measure Cost]]-Table_Controls_Input[[#This Row],[Estimated Incentive]], "")</f>
        <v/>
      </c>
      <c r="Q13" s="75" t="str">
        <f t="shared" si="1"/>
        <v/>
      </c>
      <c r="R13" s="3"/>
      <c r="S13" s="3"/>
      <c r="T13" s="3"/>
      <c r="U13" s="3"/>
      <c r="V13" s="3"/>
      <c r="W13" s="3"/>
      <c r="X13" s="3"/>
      <c r="Y13" s="3"/>
      <c r="Z13" s="3"/>
      <c r="AA13" s="3"/>
      <c r="AB13" s="3"/>
      <c r="AC13" s="3"/>
      <c r="AD13" s="3"/>
      <c r="AE13" s="3"/>
      <c r="AF13" s="3"/>
      <c r="AG13" s="3"/>
      <c r="AH13" s="3"/>
      <c r="AI13" s="3"/>
      <c r="AJ13" s="3"/>
      <c r="AK13" s="3"/>
      <c r="AL13" s="3"/>
      <c r="AM13" s="3"/>
    </row>
    <row r="14" spans="1:39" x14ac:dyDescent="0.2">
      <c r="A14" s="3"/>
      <c r="B14" s="71">
        <v>10</v>
      </c>
      <c r="C14" s="69" t="str">
        <f>IFERROR(INDEX(Table_Prescript_Meas[Measure Number], MATCH(E14, Table_Prescript_Meas[Measure Description], 0)), "")</f>
        <v/>
      </c>
      <c r="D14" s="61"/>
      <c r="E14" s="60"/>
      <c r="F14" s="69" t="str">
        <f>IFERROR(INDEX(Table_Prescript_Meas[Units], MATCH(Table_Controls_Input[[#This Row],[Measure Number]], Table_Prescript_Meas[Measure Number], 0)), "")</f>
        <v/>
      </c>
      <c r="G14" s="60"/>
      <c r="H14" s="73"/>
      <c r="I14" s="73"/>
      <c r="J14"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14" s="74" t="str">
        <f>IFERROR(Table_Controls_Input[[#This Row],[Number of Units]]*Table_Controls_Input[[#This Row],[Per-Unit Incentive]], "")</f>
        <v/>
      </c>
      <c r="L14" s="75" t="str">
        <f>IFERROR(Table_Controls_Input[[#This Row],[Number of Units]]*INDEX(Table_Prescript_Meas[Deemed kWh Savings], MATCH(Table_Controls_Input[[#This Row],[Measure Number]], Table_Prescript_Meas[Measure Number], 0)),"" )</f>
        <v/>
      </c>
      <c r="M14" s="81" t="str">
        <f>IFERROR(Table_Controls_Input[[#This Row],[Number of Units]]*INDEX(Table_Prescript_Meas[Deemed kW Savings], MATCH(Table_Controls_Input[[#This Row],[Measure Number]], Table_Prescript_Meas[Measure Number], 0)),"" )</f>
        <v/>
      </c>
      <c r="N14" s="74" t="str">
        <f t="shared" si="2"/>
        <v/>
      </c>
      <c r="O14" s="74" t="str">
        <f>IF(Table_Controls_Input[[#This Row],[Measure Number]]="", "", Table_Controls_Input[[#This Row],[Total Equipment Cost]]+Table_Controls_Input[[#This Row],[Total Labor Cost]])</f>
        <v/>
      </c>
      <c r="P14" s="74" t="str">
        <f>IFERROR(Table_Controls_Input[[#This Row],[Gross Measure Cost]]-Table_Controls_Input[[#This Row],[Estimated Incentive]], "")</f>
        <v/>
      </c>
      <c r="Q14" s="75" t="str">
        <f t="shared" si="1"/>
        <v/>
      </c>
      <c r="R14" s="3"/>
      <c r="S14" s="3"/>
      <c r="T14" s="3"/>
      <c r="U14" s="3"/>
      <c r="V14" s="3"/>
      <c r="W14" s="3"/>
      <c r="X14" s="3"/>
      <c r="Y14" s="3"/>
      <c r="Z14" s="3"/>
      <c r="AA14" s="3"/>
      <c r="AB14" s="3"/>
      <c r="AC14" s="3"/>
      <c r="AD14" s="3"/>
      <c r="AE14" s="3"/>
      <c r="AF14" s="3"/>
      <c r="AG14" s="3"/>
      <c r="AH14" s="3"/>
      <c r="AI14" s="3"/>
      <c r="AJ14" s="3"/>
      <c r="AK14" s="3"/>
      <c r="AL14" s="3"/>
      <c r="AM14" s="3"/>
    </row>
    <row r="15" spans="1:39" x14ac:dyDescent="0.2">
      <c r="A15" s="3"/>
      <c r="B15" s="71">
        <v>11</v>
      </c>
      <c r="C15" s="69" t="str">
        <f>IFERROR(INDEX(Table_Prescript_Meas[Measure Number], MATCH(E15, Table_Prescript_Meas[Measure Description], 0)), "")</f>
        <v/>
      </c>
      <c r="D15" s="61"/>
      <c r="E15" s="60"/>
      <c r="F15" s="69" t="str">
        <f>IFERROR(INDEX(Table_Prescript_Meas[Units], MATCH(Table_Controls_Input[[#This Row],[Measure Number]], Table_Prescript_Meas[Measure Number], 0)), "")</f>
        <v/>
      </c>
      <c r="G15" s="60"/>
      <c r="H15" s="73"/>
      <c r="I15" s="73"/>
      <c r="J15"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15" s="74" t="str">
        <f>IFERROR(Table_Controls_Input[[#This Row],[Number of Units]]*Table_Controls_Input[[#This Row],[Per-Unit Incentive]], "")</f>
        <v/>
      </c>
      <c r="L15" s="75" t="str">
        <f>IFERROR(Table_Controls_Input[[#This Row],[Number of Units]]*INDEX(Table_Prescript_Meas[Deemed kWh Savings], MATCH(Table_Controls_Input[[#This Row],[Measure Number]], Table_Prescript_Meas[Measure Number], 0)),"" )</f>
        <v/>
      </c>
      <c r="M15" s="81" t="str">
        <f>IFERROR(Table_Controls_Input[[#This Row],[Number of Units]]*INDEX(Table_Prescript_Meas[Deemed kW Savings], MATCH(Table_Controls_Input[[#This Row],[Measure Number]], Table_Prescript_Meas[Measure Number], 0)),"" )</f>
        <v/>
      </c>
      <c r="N15" s="74" t="str">
        <f t="shared" si="2"/>
        <v/>
      </c>
      <c r="O15" s="74" t="str">
        <f>IF(Table_Controls_Input[[#This Row],[Measure Number]]="", "", Table_Controls_Input[[#This Row],[Total Equipment Cost]]+Table_Controls_Input[[#This Row],[Total Labor Cost]])</f>
        <v/>
      </c>
      <c r="P15" s="74" t="str">
        <f>IFERROR(Table_Controls_Input[[#This Row],[Gross Measure Cost]]-Table_Controls_Input[[#This Row],[Estimated Incentive]], "")</f>
        <v/>
      </c>
      <c r="Q15" s="75" t="str">
        <f t="shared" si="1"/>
        <v/>
      </c>
      <c r="R15" s="3"/>
      <c r="S15" s="3"/>
      <c r="T15" s="3"/>
      <c r="U15" s="3"/>
      <c r="V15" s="3"/>
      <c r="W15" s="3"/>
      <c r="X15" s="3"/>
      <c r="Y15" s="3"/>
      <c r="Z15" s="3"/>
      <c r="AA15" s="3"/>
      <c r="AB15" s="3"/>
      <c r="AC15" s="3"/>
      <c r="AD15" s="3"/>
      <c r="AE15" s="3"/>
      <c r="AF15" s="3"/>
      <c r="AG15" s="3"/>
      <c r="AH15" s="3"/>
      <c r="AI15" s="3"/>
      <c r="AJ15" s="3"/>
      <c r="AK15" s="3"/>
      <c r="AL15" s="3"/>
      <c r="AM15" s="3"/>
    </row>
    <row r="16" spans="1:39" x14ac:dyDescent="0.2">
      <c r="A16" s="3"/>
      <c r="B16" s="71">
        <v>12</v>
      </c>
      <c r="C16" s="69" t="str">
        <f>IFERROR(INDEX(Table_Prescript_Meas[Measure Number], MATCH(E16, Table_Prescript_Meas[Measure Description], 0)), "")</f>
        <v/>
      </c>
      <c r="D16" s="61"/>
      <c r="E16" s="60"/>
      <c r="F16" s="69" t="str">
        <f>IFERROR(INDEX(Table_Prescript_Meas[Units], MATCH(Table_Controls_Input[[#This Row],[Measure Number]], Table_Prescript_Meas[Measure Number], 0)), "")</f>
        <v/>
      </c>
      <c r="G16" s="60"/>
      <c r="H16" s="73"/>
      <c r="I16" s="73"/>
      <c r="J16"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16" s="74" t="str">
        <f>IFERROR(Table_Controls_Input[[#This Row],[Number of Units]]*Table_Controls_Input[[#This Row],[Per-Unit Incentive]], "")</f>
        <v/>
      </c>
      <c r="L16" s="75" t="str">
        <f>IFERROR(Table_Controls_Input[[#This Row],[Number of Units]]*INDEX(Table_Prescript_Meas[Deemed kWh Savings], MATCH(Table_Controls_Input[[#This Row],[Measure Number]], Table_Prescript_Meas[Measure Number], 0)),"" )</f>
        <v/>
      </c>
      <c r="M16" s="81" t="str">
        <f>IFERROR(Table_Controls_Input[[#This Row],[Number of Units]]*INDEX(Table_Prescript_Meas[Deemed kW Savings], MATCH(Table_Controls_Input[[#This Row],[Measure Number]], Table_Prescript_Meas[Measure Number], 0)),"" )</f>
        <v/>
      </c>
      <c r="N16" s="74" t="str">
        <f t="shared" si="2"/>
        <v/>
      </c>
      <c r="O16" s="74" t="str">
        <f>IF(Table_Controls_Input[[#This Row],[Measure Number]]="", "", Table_Controls_Input[[#This Row],[Total Equipment Cost]]+Table_Controls_Input[[#This Row],[Total Labor Cost]])</f>
        <v/>
      </c>
      <c r="P16" s="74" t="str">
        <f>IFERROR(Table_Controls_Input[[#This Row],[Gross Measure Cost]]-Table_Controls_Input[[#This Row],[Estimated Incentive]], "")</f>
        <v/>
      </c>
      <c r="Q16" s="75" t="str">
        <f t="shared" si="1"/>
        <v/>
      </c>
      <c r="R16" s="3"/>
      <c r="S16" s="3"/>
      <c r="T16" s="3"/>
      <c r="U16" s="3"/>
      <c r="V16" s="3"/>
      <c r="W16" s="3"/>
      <c r="X16" s="3"/>
      <c r="Y16" s="3"/>
      <c r="Z16" s="3"/>
      <c r="AA16" s="3"/>
      <c r="AB16" s="3"/>
      <c r="AC16" s="3"/>
      <c r="AD16" s="3"/>
      <c r="AE16" s="3"/>
      <c r="AF16" s="3"/>
      <c r="AG16" s="3"/>
      <c r="AH16" s="3"/>
      <c r="AI16" s="3"/>
      <c r="AJ16" s="3"/>
      <c r="AK16" s="3"/>
      <c r="AL16" s="3"/>
      <c r="AM16" s="3"/>
    </row>
    <row r="17" spans="1:39" x14ac:dyDescent="0.2">
      <c r="A17" s="3"/>
      <c r="B17" s="71">
        <v>13</v>
      </c>
      <c r="C17" s="69" t="str">
        <f>IFERROR(INDEX(Table_Prescript_Meas[Measure Number], MATCH(E17, Table_Prescript_Meas[Measure Description], 0)), "")</f>
        <v/>
      </c>
      <c r="D17" s="61"/>
      <c r="E17" s="60"/>
      <c r="F17" s="69" t="str">
        <f>IFERROR(INDEX(Table_Prescript_Meas[Units], MATCH(Table_Controls_Input[[#This Row],[Measure Number]], Table_Prescript_Meas[Measure Number], 0)), "")</f>
        <v/>
      </c>
      <c r="G17" s="60"/>
      <c r="H17" s="73"/>
      <c r="I17" s="73"/>
      <c r="J17"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17" s="74" t="str">
        <f>IFERROR(Table_Controls_Input[[#This Row],[Number of Units]]*Table_Controls_Input[[#This Row],[Per-Unit Incentive]], "")</f>
        <v/>
      </c>
      <c r="L17" s="75" t="str">
        <f>IFERROR(Table_Controls_Input[[#This Row],[Number of Units]]*INDEX(Table_Prescript_Meas[Deemed kWh Savings], MATCH(Table_Controls_Input[[#This Row],[Measure Number]], Table_Prescript_Meas[Measure Number], 0)),"" )</f>
        <v/>
      </c>
      <c r="M17" s="81" t="str">
        <f>IFERROR(Table_Controls_Input[[#This Row],[Number of Units]]*INDEX(Table_Prescript_Meas[Deemed kW Savings], MATCH(Table_Controls_Input[[#This Row],[Measure Number]], Table_Prescript_Meas[Measure Number], 0)),"" )</f>
        <v/>
      </c>
      <c r="N17" s="74" t="str">
        <f t="shared" si="2"/>
        <v/>
      </c>
      <c r="O17" s="74" t="str">
        <f>IF(Table_Controls_Input[[#This Row],[Measure Number]]="", "", Table_Controls_Input[[#This Row],[Total Equipment Cost]]+Table_Controls_Input[[#This Row],[Total Labor Cost]])</f>
        <v/>
      </c>
      <c r="P17" s="74" t="str">
        <f>IFERROR(Table_Controls_Input[[#This Row],[Gross Measure Cost]]-Table_Controls_Input[[#This Row],[Estimated Incentive]], "")</f>
        <v/>
      </c>
      <c r="Q17" s="75" t="str">
        <f t="shared" si="1"/>
        <v/>
      </c>
      <c r="R17" s="3"/>
      <c r="S17" s="3"/>
      <c r="T17" s="3"/>
      <c r="U17" s="3"/>
      <c r="V17" s="3"/>
      <c r="W17" s="3"/>
      <c r="X17" s="3"/>
      <c r="Y17" s="3"/>
      <c r="Z17" s="3"/>
      <c r="AA17" s="3"/>
      <c r="AB17" s="3"/>
      <c r="AC17" s="3"/>
      <c r="AD17" s="3"/>
      <c r="AE17" s="3"/>
      <c r="AF17" s="3"/>
      <c r="AG17" s="3"/>
      <c r="AH17" s="3"/>
      <c r="AI17" s="3"/>
      <c r="AJ17" s="3"/>
      <c r="AK17" s="3"/>
      <c r="AL17" s="3"/>
      <c r="AM17" s="3"/>
    </row>
    <row r="18" spans="1:39" x14ac:dyDescent="0.2">
      <c r="A18" s="3"/>
      <c r="B18" s="71">
        <v>14</v>
      </c>
      <c r="C18" s="69" t="str">
        <f>IFERROR(INDEX(Table_Prescript_Meas[Measure Number], MATCH(E18, Table_Prescript_Meas[Measure Description], 0)), "")</f>
        <v/>
      </c>
      <c r="D18" s="61"/>
      <c r="E18" s="60"/>
      <c r="F18" s="69" t="str">
        <f>IFERROR(INDEX(Table_Prescript_Meas[Units], MATCH(Table_Controls_Input[[#This Row],[Measure Number]], Table_Prescript_Meas[Measure Number], 0)), "")</f>
        <v/>
      </c>
      <c r="G18" s="60"/>
      <c r="H18" s="73"/>
      <c r="I18" s="73"/>
      <c r="J18"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18" s="74" t="str">
        <f>IFERROR(Table_Controls_Input[[#This Row],[Number of Units]]*Table_Controls_Input[[#This Row],[Per-Unit Incentive]], "")</f>
        <v/>
      </c>
      <c r="L18" s="75" t="str">
        <f>IFERROR(Table_Controls_Input[[#This Row],[Number of Units]]*INDEX(Table_Prescript_Meas[Deemed kWh Savings], MATCH(Table_Controls_Input[[#This Row],[Measure Number]], Table_Prescript_Meas[Measure Number], 0)),"" )</f>
        <v/>
      </c>
      <c r="M18" s="81" t="str">
        <f>IFERROR(Table_Controls_Input[[#This Row],[Number of Units]]*INDEX(Table_Prescript_Meas[Deemed kW Savings], MATCH(Table_Controls_Input[[#This Row],[Measure Number]], Table_Prescript_Meas[Measure Number], 0)),"" )</f>
        <v/>
      </c>
      <c r="N18" s="74" t="str">
        <f t="shared" si="2"/>
        <v/>
      </c>
      <c r="O18" s="74" t="str">
        <f>IF(Table_Controls_Input[[#This Row],[Measure Number]]="", "", Table_Controls_Input[[#This Row],[Total Equipment Cost]]+Table_Controls_Input[[#This Row],[Total Labor Cost]])</f>
        <v/>
      </c>
      <c r="P18" s="74" t="str">
        <f>IFERROR(Table_Controls_Input[[#This Row],[Gross Measure Cost]]-Table_Controls_Input[[#This Row],[Estimated Incentive]], "")</f>
        <v/>
      </c>
      <c r="Q18" s="75" t="str">
        <f t="shared" si="1"/>
        <v/>
      </c>
      <c r="R18" s="3"/>
      <c r="S18" s="3"/>
      <c r="T18" s="3"/>
      <c r="U18" s="3"/>
      <c r="V18" s="3"/>
      <c r="W18" s="3"/>
      <c r="X18" s="3"/>
      <c r="Y18" s="3"/>
      <c r="Z18" s="3"/>
      <c r="AA18" s="3"/>
      <c r="AB18" s="3"/>
      <c r="AC18" s="3"/>
      <c r="AD18" s="3"/>
      <c r="AE18" s="3"/>
      <c r="AF18" s="3"/>
      <c r="AG18" s="3"/>
      <c r="AH18" s="3"/>
      <c r="AI18" s="3"/>
      <c r="AJ18" s="3"/>
      <c r="AK18" s="3"/>
      <c r="AL18" s="3"/>
      <c r="AM18" s="3"/>
    </row>
    <row r="19" spans="1:39" x14ac:dyDescent="0.2">
      <c r="A19" s="3"/>
      <c r="B19" s="71">
        <v>15</v>
      </c>
      <c r="C19" s="69" t="str">
        <f>IFERROR(INDEX(Table_Prescript_Meas[Measure Number], MATCH(E19, Table_Prescript_Meas[Measure Description], 0)), "")</f>
        <v/>
      </c>
      <c r="D19" s="61"/>
      <c r="E19" s="60"/>
      <c r="F19" s="69" t="str">
        <f>IFERROR(INDEX(Table_Prescript_Meas[Units], MATCH(Table_Controls_Input[[#This Row],[Measure Number]], Table_Prescript_Meas[Measure Number], 0)), "")</f>
        <v/>
      </c>
      <c r="G19" s="60"/>
      <c r="H19" s="73"/>
      <c r="I19" s="73"/>
      <c r="J19"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19" s="74" t="str">
        <f>IFERROR(Table_Controls_Input[[#This Row],[Number of Units]]*Table_Controls_Input[[#This Row],[Per-Unit Incentive]], "")</f>
        <v/>
      </c>
      <c r="L19" s="75" t="str">
        <f>IFERROR(Table_Controls_Input[[#This Row],[Number of Units]]*INDEX(Table_Prescript_Meas[Deemed kWh Savings], MATCH(Table_Controls_Input[[#This Row],[Measure Number]], Table_Prescript_Meas[Measure Number], 0)),"" )</f>
        <v/>
      </c>
      <c r="M19" s="81" t="str">
        <f>IFERROR(Table_Controls_Input[[#This Row],[Number of Units]]*INDEX(Table_Prescript_Meas[Deemed kW Savings], MATCH(Table_Controls_Input[[#This Row],[Measure Number]], Table_Prescript_Meas[Measure Number], 0)),"" )</f>
        <v/>
      </c>
      <c r="N19" s="74" t="str">
        <f t="shared" si="2"/>
        <v/>
      </c>
      <c r="O19" s="74" t="str">
        <f>IF(Table_Controls_Input[[#This Row],[Measure Number]]="", "", Table_Controls_Input[[#This Row],[Total Equipment Cost]]+Table_Controls_Input[[#This Row],[Total Labor Cost]])</f>
        <v/>
      </c>
      <c r="P19" s="74" t="str">
        <f>IFERROR(Table_Controls_Input[[#This Row],[Gross Measure Cost]]-Table_Controls_Input[[#This Row],[Estimated Incentive]], "")</f>
        <v/>
      </c>
      <c r="Q19" s="75" t="str">
        <f t="shared" si="1"/>
        <v/>
      </c>
      <c r="R19" s="3"/>
      <c r="S19" s="3"/>
      <c r="T19" s="3"/>
      <c r="U19" s="3"/>
      <c r="V19" s="3"/>
      <c r="W19" s="3"/>
      <c r="X19" s="3"/>
      <c r="Y19" s="3"/>
      <c r="Z19" s="3"/>
      <c r="AA19" s="3"/>
      <c r="AB19" s="3"/>
      <c r="AC19" s="3"/>
      <c r="AD19" s="3"/>
      <c r="AE19" s="3"/>
      <c r="AF19" s="3"/>
      <c r="AG19" s="3"/>
      <c r="AH19" s="3"/>
      <c r="AI19" s="3"/>
      <c r="AJ19" s="3"/>
      <c r="AK19" s="3"/>
      <c r="AL19" s="3"/>
      <c r="AM19" s="3"/>
    </row>
    <row r="20" spans="1:39" x14ac:dyDescent="0.2">
      <c r="A20" s="3"/>
      <c r="B20" s="71">
        <v>16</v>
      </c>
      <c r="C20" s="69" t="str">
        <f>IFERROR(INDEX(Table_Prescript_Meas[Measure Number], MATCH(E20, Table_Prescript_Meas[Measure Description], 0)), "")</f>
        <v/>
      </c>
      <c r="D20" s="61"/>
      <c r="E20" s="60"/>
      <c r="F20" s="69" t="str">
        <f>IFERROR(INDEX(Table_Prescript_Meas[Units], MATCH(Table_Controls_Input[[#This Row],[Measure Number]], Table_Prescript_Meas[Measure Number], 0)), "")</f>
        <v/>
      </c>
      <c r="G20" s="60"/>
      <c r="H20" s="73"/>
      <c r="I20" s="73"/>
      <c r="J20"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20" s="74" t="str">
        <f>IFERROR(Table_Controls_Input[[#This Row],[Number of Units]]*Table_Controls_Input[[#This Row],[Per-Unit Incentive]], "")</f>
        <v/>
      </c>
      <c r="L20" s="75" t="str">
        <f>IFERROR(Table_Controls_Input[[#This Row],[Number of Units]]*INDEX(Table_Prescript_Meas[Deemed kWh Savings], MATCH(Table_Controls_Input[[#This Row],[Measure Number]], Table_Prescript_Meas[Measure Number], 0)),"" )</f>
        <v/>
      </c>
      <c r="M20" s="81" t="str">
        <f>IFERROR(Table_Controls_Input[[#This Row],[Number of Units]]*INDEX(Table_Prescript_Meas[Deemed kW Savings], MATCH(Table_Controls_Input[[#This Row],[Measure Number]], Table_Prescript_Meas[Measure Number], 0)),"" )</f>
        <v/>
      </c>
      <c r="N20" s="74" t="str">
        <f t="shared" si="2"/>
        <v/>
      </c>
      <c r="O20" s="74" t="str">
        <f>IF(Table_Controls_Input[[#This Row],[Measure Number]]="", "", Table_Controls_Input[[#This Row],[Total Equipment Cost]]+Table_Controls_Input[[#This Row],[Total Labor Cost]])</f>
        <v/>
      </c>
      <c r="P20" s="74" t="str">
        <f>IFERROR(Table_Controls_Input[[#This Row],[Gross Measure Cost]]-Table_Controls_Input[[#This Row],[Estimated Incentive]], "")</f>
        <v/>
      </c>
      <c r="Q20" s="75" t="str">
        <f t="shared" si="1"/>
        <v/>
      </c>
      <c r="R20" s="3"/>
      <c r="S20" s="3"/>
      <c r="T20" s="3"/>
      <c r="U20" s="3"/>
      <c r="V20" s="3"/>
      <c r="W20" s="3"/>
      <c r="X20" s="3"/>
      <c r="Y20" s="3"/>
      <c r="Z20" s="3"/>
      <c r="AA20" s="3"/>
      <c r="AB20" s="3"/>
      <c r="AC20" s="3"/>
      <c r="AD20" s="3"/>
      <c r="AE20" s="3"/>
      <c r="AF20" s="3"/>
      <c r="AG20" s="3"/>
      <c r="AH20" s="3"/>
      <c r="AI20" s="3"/>
      <c r="AJ20" s="3"/>
      <c r="AK20" s="3"/>
      <c r="AL20" s="3"/>
      <c r="AM20" s="3"/>
    </row>
    <row r="21" spans="1:39" x14ac:dyDescent="0.2">
      <c r="A21" s="3"/>
      <c r="B21" s="71">
        <v>17</v>
      </c>
      <c r="C21" s="69" t="str">
        <f>IFERROR(INDEX(Table_Prescript_Meas[Measure Number], MATCH(E21, Table_Prescript_Meas[Measure Description], 0)), "")</f>
        <v/>
      </c>
      <c r="D21" s="61"/>
      <c r="E21" s="60"/>
      <c r="F21" s="69" t="str">
        <f>IFERROR(INDEX(Table_Prescript_Meas[Units], MATCH(Table_Controls_Input[[#This Row],[Measure Number]], Table_Prescript_Meas[Measure Number], 0)), "")</f>
        <v/>
      </c>
      <c r="G21" s="60"/>
      <c r="H21" s="73"/>
      <c r="I21" s="73"/>
      <c r="J21"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21" s="74" t="str">
        <f>IFERROR(Table_Controls_Input[[#This Row],[Number of Units]]*Table_Controls_Input[[#This Row],[Per-Unit Incentive]], "")</f>
        <v/>
      </c>
      <c r="L21" s="75" t="str">
        <f>IFERROR(Table_Controls_Input[[#This Row],[Number of Units]]*INDEX(Table_Prescript_Meas[Deemed kWh Savings], MATCH(Table_Controls_Input[[#This Row],[Measure Number]], Table_Prescript_Meas[Measure Number], 0)),"" )</f>
        <v/>
      </c>
      <c r="M21" s="81" t="str">
        <f>IFERROR(Table_Controls_Input[[#This Row],[Number of Units]]*INDEX(Table_Prescript_Meas[Deemed kW Savings], MATCH(Table_Controls_Input[[#This Row],[Measure Number]], Table_Prescript_Meas[Measure Number], 0)),"" )</f>
        <v/>
      </c>
      <c r="N21" s="74" t="str">
        <f t="shared" si="2"/>
        <v/>
      </c>
      <c r="O21" s="74" t="str">
        <f>IF(Table_Controls_Input[[#This Row],[Measure Number]]="", "", Table_Controls_Input[[#This Row],[Total Equipment Cost]]+Table_Controls_Input[[#This Row],[Total Labor Cost]])</f>
        <v/>
      </c>
      <c r="P21" s="74" t="str">
        <f>IFERROR(Table_Controls_Input[[#This Row],[Gross Measure Cost]]-Table_Controls_Input[[#This Row],[Estimated Incentive]], "")</f>
        <v/>
      </c>
      <c r="Q21" s="75" t="str">
        <f t="shared" si="1"/>
        <v/>
      </c>
      <c r="R21" s="3"/>
      <c r="S21" s="3"/>
      <c r="T21" s="3"/>
      <c r="U21" s="3"/>
      <c r="V21" s="3"/>
      <c r="W21" s="3"/>
      <c r="X21" s="3"/>
      <c r="Y21" s="3"/>
      <c r="Z21" s="3"/>
      <c r="AA21" s="3"/>
      <c r="AB21" s="3"/>
      <c r="AC21" s="3"/>
      <c r="AD21" s="3"/>
      <c r="AE21" s="3"/>
      <c r="AF21" s="3"/>
      <c r="AG21" s="3"/>
      <c r="AH21" s="3"/>
      <c r="AI21" s="3"/>
      <c r="AJ21" s="3"/>
      <c r="AK21" s="3"/>
      <c r="AL21" s="3"/>
      <c r="AM21" s="3"/>
    </row>
    <row r="22" spans="1:39" x14ac:dyDescent="0.2">
      <c r="A22" s="3"/>
      <c r="B22" s="71">
        <v>18</v>
      </c>
      <c r="C22" s="69" t="str">
        <f>IFERROR(INDEX(Table_Prescript_Meas[Measure Number], MATCH(E22, Table_Prescript_Meas[Measure Description], 0)), "")</f>
        <v/>
      </c>
      <c r="D22" s="61"/>
      <c r="E22" s="60"/>
      <c r="F22" s="69" t="str">
        <f>IFERROR(INDEX(Table_Prescript_Meas[Units], MATCH(Table_Controls_Input[[#This Row],[Measure Number]], Table_Prescript_Meas[Measure Number], 0)), "")</f>
        <v/>
      </c>
      <c r="G22" s="60"/>
      <c r="H22" s="73"/>
      <c r="I22" s="73"/>
      <c r="J22"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22" s="74" t="str">
        <f>IFERROR(Table_Controls_Input[[#This Row],[Number of Units]]*Table_Controls_Input[[#This Row],[Per-Unit Incentive]], "")</f>
        <v/>
      </c>
      <c r="L22" s="75" t="str">
        <f>IFERROR(Table_Controls_Input[[#This Row],[Number of Units]]*INDEX(Table_Prescript_Meas[Deemed kWh Savings], MATCH(Table_Controls_Input[[#This Row],[Measure Number]], Table_Prescript_Meas[Measure Number], 0)),"" )</f>
        <v/>
      </c>
      <c r="M22" s="81" t="str">
        <f>IFERROR(Table_Controls_Input[[#This Row],[Number of Units]]*INDEX(Table_Prescript_Meas[Deemed kW Savings], MATCH(Table_Controls_Input[[#This Row],[Measure Number]], Table_Prescript_Meas[Measure Number], 0)),"" )</f>
        <v/>
      </c>
      <c r="N22" s="74" t="str">
        <f t="shared" si="2"/>
        <v/>
      </c>
      <c r="O22" s="74" t="str">
        <f>IF(Table_Controls_Input[[#This Row],[Measure Number]]="", "", Table_Controls_Input[[#This Row],[Total Equipment Cost]]+Table_Controls_Input[[#This Row],[Total Labor Cost]])</f>
        <v/>
      </c>
      <c r="P22" s="74" t="str">
        <f>IFERROR(Table_Controls_Input[[#This Row],[Gross Measure Cost]]-Table_Controls_Input[[#This Row],[Estimated Incentive]], "")</f>
        <v/>
      </c>
      <c r="Q22" s="75" t="str">
        <f t="shared" si="1"/>
        <v/>
      </c>
      <c r="R22" s="3"/>
      <c r="S22" s="3"/>
      <c r="T22" s="3"/>
      <c r="U22" s="3"/>
      <c r="V22" s="3"/>
      <c r="W22" s="3"/>
      <c r="X22" s="3"/>
      <c r="Y22" s="3"/>
      <c r="Z22" s="3"/>
      <c r="AA22" s="3"/>
      <c r="AB22" s="3"/>
      <c r="AC22" s="3"/>
      <c r="AD22" s="3"/>
      <c r="AE22" s="3"/>
      <c r="AF22" s="3"/>
      <c r="AG22" s="3"/>
      <c r="AH22" s="3"/>
      <c r="AI22" s="3"/>
      <c r="AJ22" s="3"/>
      <c r="AK22" s="3"/>
      <c r="AL22" s="3"/>
      <c r="AM22" s="3"/>
    </row>
    <row r="23" spans="1:39" x14ac:dyDescent="0.2">
      <c r="A23" s="3"/>
      <c r="B23" s="71">
        <v>19</v>
      </c>
      <c r="C23" s="69" t="str">
        <f>IFERROR(INDEX(Table_Prescript_Meas[Measure Number], MATCH(E23, Table_Prescript_Meas[Measure Description], 0)), "")</f>
        <v/>
      </c>
      <c r="D23" s="61"/>
      <c r="E23" s="60"/>
      <c r="F23" s="69" t="str">
        <f>IFERROR(INDEX(Table_Prescript_Meas[Units], MATCH(Table_Controls_Input[[#This Row],[Measure Number]], Table_Prescript_Meas[Measure Number], 0)), "")</f>
        <v/>
      </c>
      <c r="G23" s="60"/>
      <c r="H23" s="73"/>
      <c r="I23" s="73"/>
      <c r="J23"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23" s="74" t="str">
        <f>IFERROR(Table_Controls_Input[[#This Row],[Number of Units]]*Table_Controls_Input[[#This Row],[Per-Unit Incentive]], "")</f>
        <v/>
      </c>
      <c r="L23" s="75" t="str">
        <f>IFERROR(Table_Controls_Input[[#This Row],[Number of Units]]*INDEX(Table_Prescript_Meas[Deemed kWh Savings], MATCH(Table_Controls_Input[[#This Row],[Measure Number]], Table_Prescript_Meas[Measure Number], 0)),"" )</f>
        <v/>
      </c>
      <c r="M23" s="81" t="str">
        <f>IFERROR(Table_Controls_Input[[#This Row],[Number of Units]]*INDEX(Table_Prescript_Meas[Deemed kW Savings], MATCH(Table_Controls_Input[[#This Row],[Measure Number]], Table_Prescript_Meas[Measure Number], 0)),"" )</f>
        <v/>
      </c>
      <c r="N23" s="74" t="str">
        <f t="shared" si="2"/>
        <v/>
      </c>
      <c r="O23" s="74" t="str">
        <f>IF(Table_Controls_Input[[#This Row],[Measure Number]]="", "", Table_Controls_Input[[#This Row],[Total Equipment Cost]]+Table_Controls_Input[[#This Row],[Total Labor Cost]])</f>
        <v/>
      </c>
      <c r="P23" s="74" t="str">
        <f>IFERROR(Table_Controls_Input[[#This Row],[Gross Measure Cost]]-Table_Controls_Input[[#This Row],[Estimated Incentive]], "")</f>
        <v/>
      </c>
      <c r="Q23" s="75" t="str">
        <f t="shared" si="1"/>
        <v/>
      </c>
      <c r="R23" s="3"/>
      <c r="S23" s="3"/>
      <c r="T23" s="3"/>
      <c r="U23" s="3"/>
      <c r="V23" s="3"/>
      <c r="W23" s="3"/>
      <c r="X23" s="3"/>
      <c r="Y23" s="3"/>
      <c r="Z23" s="3"/>
      <c r="AA23" s="3"/>
      <c r="AB23" s="3"/>
      <c r="AC23" s="3"/>
      <c r="AD23" s="3"/>
      <c r="AE23" s="3"/>
      <c r="AF23" s="3"/>
      <c r="AG23" s="3"/>
      <c r="AH23" s="3"/>
      <c r="AI23" s="3"/>
      <c r="AJ23" s="3"/>
      <c r="AK23" s="3"/>
      <c r="AL23" s="3"/>
      <c r="AM23" s="3"/>
    </row>
    <row r="24" spans="1:39" x14ac:dyDescent="0.2">
      <c r="A24" s="3"/>
      <c r="B24" s="71">
        <v>20</v>
      </c>
      <c r="C24" s="69" t="str">
        <f>IFERROR(INDEX(Table_Prescript_Meas[Measure Number], MATCH(E24, Table_Prescript_Meas[Measure Description], 0)), "")</f>
        <v/>
      </c>
      <c r="D24" s="61"/>
      <c r="E24" s="60"/>
      <c r="F24" s="69" t="str">
        <f>IFERROR(INDEX(Table_Prescript_Meas[Units], MATCH(Table_Controls_Input[[#This Row],[Measure Number]], Table_Prescript_Meas[Measure Number], 0)), "")</f>
        <v/>
      </c>
      <c r="G24" s="60"/>
      <c r="H24" s="73"/>
      <c r="I24" s="73"/>
      <c r="J24"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24" s="74" t="str">
        <f>IFERROR(Table_Controls_Input[[#This Row],[Number of Units]]*Table_Controls_Input[[#This Row],[Per-Unit Incentive]], "")</f>
        <v/>
      </c>
      <c r="L24" s="75" t="str">
        <f>IFERROR(Table_Controls_Input[[#This Row],[Number of Units]]*INDEX(Table_Prescript_Meas[Deemed kWh Savings], MATCH(Table_Controls_Input[[#This Row],[Measure Number]], Table_Prescript_Meas[Measure Number], 0)),"" )</f>
        <v/>
      </c>
      <c r="M24" s="81" t="str">
        <f>IFERROR(Table_Controls_Input[[#This Row],[Number of Units]]*INDEX(Table_Prescript_Meas[Deemed kW Savings], MATCH(Table_Controls_Input[[#This Row],[Measure Number]], Table_Prescript_Meas[Measure Number], 0)),"" )</f>
        <v/>
      </c>
      <c r="N24" s="74" t="str">
        <f t="shared" si="2"/>
        <v/>
      </c>
      <c r="O24" s="74" t="str">
        <f>IF(Table_Controls_Input[[#This Row],[Measure Number]]="", "", Table_Controls_Input[[#This Row],[Total Equipment Cost]]+Table_Controls_Input[[#This Row],[Total Labor Cost]])</f>
        <v/>
      </c>
      <c r="P24" s="74" t="str">
        <f>IFERROR(Table_Controls_Input[[#This Row],[Gross Measure Cost]]-Table_Controls_Input[[#This Row],[Estimated Incentive]], "")</f>
        <v/>
      </c>
      <c r="Q24" s="75" t="str">
        <f t="shared" si="1"/>
        <v/>
      </c>
      <c r="R24" s="3"/>
      <c r="S24" s="3"/>
      <c r="T24" s="3"/>
      <c r="U24" s="3"/>
      <c r="V24" s="3"/>
      <c r="W24" s="3"/>
      <c r="X24" s="3"/>
      <c r="Y24" s="3"/>
      <c r="Z24" s="3"/>
      <c r="AA24" s="3"/>
      <c r="AB24" s="3"/>
      <c r="AC24" s="3"/>
      <c r="AD24" s="3"/>
      <c r="AE24" s="3"/>
      <c r="AF24" s="3"/>
      <c r="AG24" s="3"/>
      <c r="AH24" s="3"/>
      <c r="AI24" s="3"/>
      <c r="AJ24" s="3"/>
      <c r="AK24" s="3"/>
      <c r="AL24" s="3"/>
      <c r="AM24" s="3"/>
    </row>
    <row r="25" spans="1:39" x14ac:dyDescent="0.2">
      <c r="A25" s="3"/>
      <c r="B25" s="71">
        <v>21</v>
      </c>
      <c r="C25" s="69" t="str">
        <f>IFERROR(INDEX(Table_Prescript_Meas[Measure Number], MATCH(E25, Table_Prescript_Meas[Measure Description], 0)), "")</f>
        <v/>
      </c>
      <c r="D25" s="61"/>
      <c r="E25" s="60"/>
      <c r="F25" s="69" t="str">
        <f>IFERROR(INDEX(Table_Prescript_Meas[Units], MATCH(Table_Controls_Input[[#This Row],[Measure Number]], Table_Prescript_Meas[Measure Number], 0)), "")</f>
        <v/>
      </c>
      <c r="G25" s="60"/>
      <c r="H25" s="73"/>
      <c r="I25" s="73"/>
      <c r="J25"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25" s="74" t="str">
        <f>IFERROR(Table_Controls_Input[[#This Row],[Number of Units]]*Table_Controls_Input[[#This Row],[Per-Unit Incentive]], "")</f>
        <v/>
      </c>
      <c r="L25" s="75" t="str">
        <f>IFERROR(Table_Controls_Input[[#This Row],[Number of Units]]*INDEX(Table_Prescript_Meas[Deemed kWh Savings], MATCH(Table_Controls_Input[[#This Row],[Measure Number]], Table_Prescript_Meas[Measure Number], 0)),"" )</f>
        <v/>
      </c>
      <c r="M25" s="81" t="str">
        <f>IFERROR(Table_Controls_Input[[#This Row],[Number of Units]]*INDEX(Table_Prescript_Meas[Deemed kW Savings], MATCH(Table_Controls_Input[[#This Row],[Measure Number]], Table_Prescript_Meas[Measure Number], 0)),"" )</f>
        <v/>
      </c>
      <c r="N25" s="74" t="str">
        <f t="shared" si="2"/>
        <v/>
      </c>
      <c r="O25" s="74" t="str">
        <f>IF(Table_Controls_Input[[#This Row],[Measure Number]]="", "", Table_Controls_Input[[#This Row],[Total Equipment Cost]]+Table_Controls_Input[[#This Row],[Total Labor Cost]])</f>
        <v/>
      </c>
      <c r="P25" s="74" t="str">
        <f>IFERROR(Table_Controls_Input[[#This Row],[Gross Measure Cost]]-Table_Controls_Input[[#This Row],[Estimated Incentive]], "")</f>
        <v/>
      </c>
      <c r="Q25" s="75" t="str">
        <f t="shared" si="1"/>
        <v/>
      </c>
      <c r="R25" s="3"/>
      <c r="S25" s="3"/>
      <c r="T25" s="3"/>
      <c r="U25" s="3"/>
      <c r="V25" s="3"/>
      <c r="W25" s="3"/>
      <c r="X25" s="3"/>
      <c r="Y25" s="3"/>
      <c r="Z25" s="3"/>
      <c r="AA25" s="3"/>
      <c r="AB25" s="3"/>
      <c r="AC25" s="3"/>
      <c r="AD25" s="3"/>
      <c r="AE25" s="3"/>
      <c r="AF25" s="3"/>
      <c r="AG25" s="3"/>
      <c r="AH25" s="3"/>
      <c r="AI25" s="3"/>
      <c r="AJ25" s="3"/>
      <c r="AK25" s="3"/>
      <c r="AL25" s="3"/>
      <c r="AM25" s="3"/>
    </row>
    <row r="26" spans="1:39" x14ac:dyDescent="0.2">
      <c r="A26" s="3"/>
      <c r="B26" s="71">
        <v>22</v>
      </c>
      <c r="C26" s="69" t="str">
        <f>IFERROR(INDEX(Table_Prescript_Meas[Measure Number], MATCH(E26, Table_Prescript_Meas[Measure Description], 0)), "")</f>
        <v/>
      </c>
      <c r="D26" s="61"/>
      <c r="E26" s="60"/>
      <c r="F26" s="69" t="str">
        <f>IFERROR(INDEX(Table_Prescript_Meas[Units], MATCH(Table_Controls_Input[[#This Row],[Measure Number]], Table_Prescript_Meas[Measure Number], 0)), "")</f>
        <v/>
      </c>
      <c r="G26" s="60"/>
      <c r="H26" s="73"/>
      <c r="I26" s="73"/>
      <c r="J26"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26" s="74" t="str">
        <f>IFERROR(Table_Controls_Input[[#This Row],[Number of Units]]*Table_Controls_Input[[#This Row],[Per-Unit Incentive]], "")</f>
        <v/>
      </c>
      <c r="L26" s="75" t="str">
        <f>IFERROR(Table_Controls_Input[[#This Row],[Number of Units]]*INDEX(Table_Prescript_Meas[Deemed kWh Savings], MATCH(Table_Controls_Input[[#This Row],[Measure Number]], Table_Prescript_Meas[Measure Number], 0)),"" )</f>
        <v/>
      </c>
      <c r="M26" s="81" t="str">
        <f>IFERROR(Table_Controls_Input[[#This Row],[Number of Units]]*INDEX(Table_Prescript_Meas[Deemed kW Savings], MATCH(Table_Controls_Input[[#This Row],[Measure Number]], Table_Prescript_Meas[Measure Number], 0)),"" )</f>
        <v/>
      </c>
      <c r="N26" s="74" t="str">
        <f t="shared" si="2"/>
        <v/>
      </c>
      <c r="O26" s="74" t="str">
        <f>IF(Table_Controls_Input[[#This Row],[Measure Number]]="", "", Table_Controls_Input[[#This Row],[Total Equipment Cost]]+Table_Controls_Input[[#This Row],[Total Labor Cost]])</f>
        <v/>
      </c>
      <c r="P26" s="74" t="str">
        <f>IFERROR(Table_Controls_Input[[#This Row],[Gross Measure Cost]]-Table_Controls_Input[[#This Row],[Estimated Incentive]], "")</f>
        <v/>
      </c>
      <c r="Q26" s="75" t="str">
        <f t="shared" si="1"/>
        <v/>
      </c>
      <c r="R26" s="3"/>
      <c r="S26" s="3"/>
      <c r="T26" s="3"/>
      <c r="U26" s="3"/>
      <c r="V26" s="3"/>
      <c r="W26" s="3"/>
      <c r="X26" s="3"/>
      <c r="Y26" s="3"/>
      <c r="Z26" s="3"/>
      <c r="AA26" s="3"/>
      <c r="AB26" s="3"/>
      <c r="AC26" s="3"/>
      <c r="AD26" s="3"/>
      <c r="AE26" s="3"/>
      <c r="AF26" s="3"/>
      <c r="AG26" s="3"/>
      <c r="AH26" s="3"/>
      <c r="AI26" s="3"/>
      <c r="AJ26" s="3"/>
      <c r="AK26" s="3"/>
      <c r="AL26" s="3"/>
      <c r="AM26" s="3"/>
    </row>
    <row r="27" spans="1:39" x14ac:dyDescent="0.2">
      <c r="A27" s="3"/>
      <c r="B27" s="71">
        <v>23</v>
      </c>
      <c r="C27" s="69" t="str">
        <f>IFERROR(INDEX(Table_Prescript_Meas[Measure Number], MATCH(E27, Table_Prescript_Meas[Measure Description], 0)), "")</f>
        <v/>
      </c>
      <c r="D27" s="61"/>
      <c r="E27" s="60"/>
      <c r="F27" s="69" t="str">
        <f>IFERROR(INDEX(Table_Prescript_Meas[Units], MATCH(Table_Controls_Input[[#This Row],[Measure Number]], Table_Prescript_Meas[Measure Number], 0)), "")</f>
        <v/>
      </c>
      <c r="G27" s="60"/>
      <c r="H27" s="73"/>
      <c r="I27" s="73"/>
      <c r="J27"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27" s="74" t="str">
        <f>IFERROR(Table_Controls_Input[[#This Row],[Number of Units]]*Table_Controls_Input[[#This Row],[Per-Unit Incentive]], "")</f>
        <v/>
      </c>
      <c r="L27" s="75" t="str">
        <f>IFERROR(Table_Controls_Input[[#This Row],[Number of Units]]*INDEX(Table_Prescript_Meas[Deemed kWh Savings], MATCH(Table_Controls_Input[[#This Row],[Measure Number]], Table_Prescript_Meas[Measure Number], 0)),"" )</f>
        <v/>
      </c>
      <c r="M27" s="81" t="str">
        <f>IFERROR(Table_Controls_Input[[#This Row],[Number of Units]]*INDEX(Table_Prescript_Meas[Deemed kW Savings], MATCH(Table_Controls_Input[[#This Row],[Measure Number]], Table_Prescript_Meas[Measure Number], 0)),"" )</f>
        <v/>
      </c>
      <c r="N27" s="74" t="str">
        <f t="shared" si="2"/>
        <v/>
      </c>
      <c r="O27" s="74" t="str">
        <f>IF(Table_Controls_Input[[#This Row],[Measure Number]]="", "", Table_Controls_Input[[#This Row],[Total Equipment Cost]]+Table_Controls_Input[[#This Row],[Total Labor Cost]])</f>
        <v/>
      </c>
      <c r="P27" s="74" t="str">
        <f>IFERROR(Table_Controls_Input[[#This Row],[Gross Measure Cost]]-Table_Controls_Input[[#This Row],[Estimated Incentive]], "")</f>
        <v/>
      </c>
      <c r="Q27" s="75" t="str">
        <f t="shared" si="1"/>
        <v/>
      </c>
      <c r="R27" s="3"/>
      <c r="S27" s="3"/>
      <c r="T27" s="3"/>
      <c r="U27" s="3"/>
      <c r="V27" s="3"/>
      <c r="W27" s="3"/>
      <c r="X27" s="3"/>
      <c r="Y27" s="3"/>
      <c r="Z27" s="3"/>
      <c r="AA27" s="3"/>
      <c r="AB27" s="3"/>
      <c r="AC27" s="3"/>
      <c r="AD27" s="3"/>
      <c r="AE27" s="3"/>
      <c r="AF27" s="3"/>
      <c r="AG27" s="3"/>
      <c r="AH27" s="3"/>
      <c r="AI27" s="3"/>
      <c r="AJ27" s="3"/>
      <c r="AK27" s="3"/>
      <c r="AL27" s="3"/>
      <c r="AM27" s="3"/>
    </row>
    <row r="28" spans="1:39" x14ac:dyDescent="0.2">
      <c r="A28" s="3"/>
      <c r="B28" s="71">
        <v>24</v>
      </c>
      <c r="C28" s="69" t="str">
        <f>IFERROR(INDEX(Table_Prescript_Meas[Measure Number], MATCH(E28, Table_Prescript_Meas[Measure Description], 0)), "")</f>
        <v/>
      </c>
      <c r="D28" s="61"/>
      <c r="E28" s="60"/>
      <c r="F28" s="69" t="str">
        <f>IFERROR(INDEX(Table_Prescript_Meas[Units], MATCH(Table_Controls_Input[[#This Row],[Measure Number]], Table_Prescript_Meas[Measure Number], 0)), "")</f>
        <v/>
      </c>
      <c r="G28" s="60"/>
      <c r="H28" s="73"/>
      <c r="I28" s="73"/>
      <c r="J28"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28" s="74" t="str">
        <f>IFERROR(Table_Controls_Input[[#This Row],[Number of Units]]*Table_Controls_Input[[#This Row],[Per-Unit Incentive]], "")</f>
        <v/>
      </c>
      <c r="L28" s="75" t="str">
        <f>IFERROR(Table_Controls_Input[[#This Row],[Number of Units]]*INDEX(Table_Prescript_Meas[Deemed kWh Savings], MATCH(Table_Controls_Input[[#This Row],[Measure Number]], Table_Prescript_Meas[Measure Number], 0)),"" )</f>
        <v/>
      </c>
      <c r="M28" s="81" t="str">
        <f>IFERROR(Table_Controls_Input[[#This Row],[Number of Units]]*INDEX(Table_Prescript_Meas[Deemed kW Savings], MATCH(Table_Controls_Input[[#This Row],[Measure Number]], Table_Prescript_Meas[Measure Number], 0)),"" )</f>
        <v/>
      </c>
      <c r="N28" s="74" t="str">
        <f t="shared" si="2"/>
        <v/>
      </c>
      <c r="O28" s="74" t="str">
        <f>IF(Table_Controls_Input[[#This Row],[Measure Number]]="", "", Table_Controls_Input[[#This Row],[Total Equipment Cost]]+Table_Controls_Input[[#This Row],[Total Labor Cost]])</f>
        <v/>
      </c>
      <c r="P28" s="74" t="str">
        <f>IFERROR(Table_Controls_Input[[#This Row],[Gross Measure Cost]]-Table_Controls_Input[[#This Row],[Estimated Incentive]], "")</f>
        <v/>
      </c>
      <c r="Q28" s="75" t="str">
        <f t="shared" si="1"/>
        <v/>
      </c>
      <c r="R28" s="3"/>
      <c r="S28" s="3"/>
      <c r="T28" s="3"/>
      <c r="U28" s="3"/>
      <c r="V28" s="3"/>
      <c r="W28" s="3"/>
      <c r="X28" s="3"/>
      <c r="Y28" s="3"/>
      <c r="Z28" s="3"/>
      <c r="AA28" s="3"/>
      <c r="AB28" s="3"/>
      <c r="AC28" s="3"/>
      <c r="AD28" s="3"/>
      <c r="AE28" s="3"/>
      <c r="AF28" s="3"/>
      <c r="AG28" s="3"/>
      <c r="AH28" s="3"/>
      <c r="AI28" s="3"/>
      <c r="AJ28" s="3"/>
      <c r="AK28" s="3"/>
      <c r="AL28" s="3"/>
      <c r="AM28" s="3"/>
    </row>
    <row r="29" spans="1:39" x14ac:dyDescent="0.2">
      <c r="A29" s="3"/>
      <c r="B29" s="71">
        <v>25</v>
      </c>
      <c r="C29" s="69" t="str">
        <f>IFERROR(INDEX(Table_Prescript_Meas[Measure Number], MATCH(E29, Table_Prescript_Meas[Measure Description], 0)), "")</f>
        <v/>
      </c>
      <c r="D29" s="61"/>
      <c r="E29" s="60"/>
      <c r="F29" s="69" t="str">
        <f>IFERROR(INDEX(Table_Prescript_Meas[Units], MATCH(Table_Controls_Input[[#This Row],[Measure Number]], Table_Prescript_Meas[Measure Number], 0)), "")</f>
        <v/>
      </c>
      <c r="G29" s="60"/>
      <c r="H29" s="73"/>
      <c r="I29" s="73"/>
      <c r="J29"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29" s="74" t="str">
        <f>IFERROR(Table_Controls_Input[[#This Row],[Number of Units]]*Table_Controls_Input[[#This Row],[Per-Unit Incentive]], "")</f>
        <v/>
      </c>
      <c r="L29" s="75" t="str">
        <f>IFERROR(Table_Controls_Input[[#This Row],[Number of Units]]*INDEX(Table_Prescript_Meas[Deemed kWh Savings], MATCH(Table_Controls_Input[[#This Row],[Measure Number]], Table_Prescript_Meas[Measure Number], 0)),"" )</f>
        <v/>
      </c>
      <c r="M29" s="81" t="str">
        <f>IFERROR(Table_Controls_Input[[#This Row],[Number of Units]]*INDEX(Table_Prescript_Meas[Deemed kW Savings], MATCH(Table_Controls_Input[[#This Row],[Measure Number]], Table_Prescript_Meas[Measure Number], 0)),"" )</f>
        <v/>
      </c>
      <c r="N29" s="74" t="str">
        <f t="shared" si="2"/>
        <v/>
      </c>
      <c r="O29" s="74" t="str">
        <f>IF(Table_Controls_Input[[#This Row],[Measure Number]]="", "", Table_Controls_Input[[#This Row],[Total Equipment Cost]]+Table_Controls_Input[[#This Row],[Total Labor Cost]])</f>
        <v/>
      </c>
      <c r="P29" s="74" t="str">
        <f>IFERROR(Table_Controls_Input[[#This Row],[Gross Measure Cost]]-Table_Controls_Input[[#This Row],[Estimated Incentive]], "")</f>
        <v/>
      </c>
      <c r="Q29" s="75" t="str">
        <f t="shared" si="1"/>
        <v/>
      </c>
      <c r="R29" s="3"/>
      <c r="S29" s="3"/>
      <c r="T29" s="3"/>
      <c r="U29" s="3"/>
      <c r="V29" s="3"/>
      <c r="W29" s="3"/>
      <c r="X29" s="3"/>
      <c r="Y29" s="3"/>
      <c r="Z29" s="3"/>
      <c r="AA29" s="3"/>
      <c r="AB29" s="3"/>
      <c r="AC29" s="3"/>
      <c r="AD29" s="3"/>
      <c r="AE29" s="3"/>
      <c r="AF29" s="3"/>
      <c r="AG29" s="3"/>
      <c r="AH29" s="3"/>
      <c r="AI29" s="3"/>
      <c r="AJ29" s="3"/>
      <c r="AK29" s="3"/>
      <c r="AL29" s="3"/>
      <c r="AM29" s="3"/>
    </row>
    <row r="30" spans="1:39" x14ac:dyDescent="0.2">
      <c r="A30" s="3"/>
      <c r="B30" s="71">
        <v>26</v>
      </c>
      <c r="C30" s="69" t="str">
        <f>IFERROR(INDEX(Table_Prescript_Meas[Measure Number], MATCH(E30, Table_Prescript_Meas[Measure Description], 0)), "")</f>
        <v/>
      </c>
      <c r="D30" s="61"/>
      <c r="E30" s="60"/>
      <c r="F30" s="69" t="str">
        <f>IFERROR(INDEX(Table_Prescript_Meas[Units], MATCH(Table_Controls_Input[[#This Row],[Measure Number]], Table_Prescript_Meas[Measure Number], 0)), "")</f>
        <v/>
      </c>
      <c r="G30" s="60"/>
      <c r="H30" s="73"/>
      <c r="I30" s="73"/>
      <c r="J30"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30" s="74" t="str">
        <f>IFERROR(Table_Controls_Input[[#This Row],[Number of Units]]*Table_Controls_Input[[#This Row],[Per-Unit Incentive]], "")</f>
        <v/>
      </c>
      <c r="L30" s="75" t="str">
        <f>IFERROR(Table_Controls_Input[[#This Row],[Number of Units]]*INDEX(Table_Prescript_Meas[Deemed kWh Savings], MATCH(Table_Controls_Input[[#This Row],[Measure Number]], Table_Prescript_Meas[Measure Number], 0)),"" )</f>
        <v/>
      </c>
      <c r="M30" s="81" t="str">
        <f>IFERROR(Table_Controls_Input[[#This Row],[Number of Units]]*INDEX(Table_Prescript_Meas[Deemed kW Savings], MATCH(Table_Controls_Input[[#This Row],[Measure Number]], Table_Prescript_Meas[Measure Number], 0)),"" )</f>
        <v/>
      </c>
      <c r="N30" s="74" t="str">
        <f t="shared" si="2"/>
        <v/>
      </c>
      <c r="O30" s="74" t="str">
        <f>IF(Table_Controls_Input[[#This Row],[Measure Number]]="", "", Table_Controls_Input[[#This Row],[Total Equipment Cost]]+Table_Controls_Input[[#This Row],[Total Labor Cost]])</f>
        <v/>
      </c>
      <c r="P30" s="74" t="str">
        <f>IFERROR(Table_Controls_Input[[#This Row],[Gross Measure Cost]]-Table_Controls_Input[[#This Row],[Estimated Incentive]], "")</f>
        <v/>
      </c>
      <c r="Q30" s="75" t="str">
        <f t="shared" si="1"/>
        <v/>
      </c>
      <c r="R30" s="3"/>
      <c r="S30" s="3"/>
      <c r="T30" s="3"/>
      <c r="U30" s="3"/>
      <c r="V30" s="3"/>
      <c r="W30" s="3"/>
      <c r="X30" s="3"/>
      <c r="Y30" s="3"/>
      <c r="Z30" s="3"/>
      <c r="AA30" s="3"/>
      <c r="AB30" s="3"/>
      <c r="AC30" s="3"/>
      <c r="AD30" s="3"/>
      <c r="AE30" s="3"/>
      <c r="AF30" s="3"/>
      <c r="AG30" s="3"/>
      <c r="AH30" s="3"/>
      <c r="AI30" s="3"/>
      <c r="AJ30" s="3"/>
      <c r="AK30" s="3"/>
      <c r="AL30" s="3"/>
      <c r="AM30" s="3"/>
    </row>
    <row r="31" spans="1:39" x14ac:dyDescent="0.2">
      <c r="A31" s="4"/>
      <c r="B31" s="71">
        <v>27</v>
      </c>
      <c r="C31" s="69" t="str">
        <f>IFERROR(INDEX(Table_Prescript_Meas[Measure Number], MATCH(E31, Table_Prescript_Meas[Measure Description], 0)), "")</f>
        <v/>
      </c>
      <c r="D31" s="61"/>
      <c r="E31" s="60"/>
      <c r="F31" s="69" t="str">
        <f>IFERROR(INDEX(Table_Prescript_Meas[Units], MATCH(Table_Controls_Input[[#This Row],[Measure Number]], Table_Prescript_Meas[Measure Number], 0)), "")</f>
        <v/>
      </c>
      <c r="G31" s="60"/>
      <c r="H31" s="73"/>
      <c r="I31" s="73"/>
      <c r="J31"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31" s="74" t="str">
        <f>IFERROR(Table_Controls_Input[[#This Row],[Number of Units]]*Table_Controls_Input[[#This Row],[Per-Unit Incentive]], "")</f>
        <v/>
      </c>
      <c r="L31" s="75" t="str">
        <f>IFERROR(Table_Controls_Input[[#This Row],[Number of Units]]*INDEX(Table_Prescript_Meas[Deemed kWh Savings], MATCH(Table_Controls_Input[[#This Row],[Measure Number]], Table_Prescript_Meas[Measure Number], 0)),"" )</f>
        <v/>
      </c>
      <c r="M31" s="81" t="str">
        <f>IFERROR(Table_Controls_Input[[#This Row],[Number of Units]]*INDEX(Table_Prescript_Meas[Deemed kW Savings], MATCH(Table_Controls_Input[[#This Row],[Measure Number]], Table_Prescript_Meas[Measure Number], 0)),"" )</f>
        <v/>
      </c>
      <c r="N31" s="74" t="str">
        <f t="shared" si="2"/>
        <v/>
      </c>
      <c r="O31" s="74" t="str">
        <f>IF(Table_Controls_Input[[#This Row],[Measure Number]]="", "", Table_Controls_Input[[#This Row],[Total Equipment Cost]]+Table_Controls_Input[[#This Row],[Total Labor Cost]])</f>
        <v/>
      </c>
      <c r="P31" s="74" t="str">
        <f>IFERROR(Table_Controls_Input[[#This Row],[Gross Measure Cost]]-Table_Controls_Input[[#This Row],[Estimated Incentive]], "")</f>
        <v/>
      </c>
      <c r="Q31" s="75" t="str">
        <f t="shared" si="1"/>
        <v/>
      </c>
      <c r="R31" s="4"/>
      <c r="S31" s="4"/>
      <c r="T31" s="4"/>
      <c r="U31" s="4"/>
      <c r="V31" s="4"/>
      <c r="W31" s="4"/>
      <c r="X31" s="4"/>
      <c r="Y31" s="4"/>
      <c r="Z31" s="4"/>
      <c r="AA31" s="4"/>
      <c r="AB31" s="4"/>
      <c r="AC31" s="4"/>
      <c r="AD31" s="4"/>
      <c r="AE31" s="4"/>
      <c r="AF31" s="4"/>
      <c r="AG31" s="4"/>
      <c r="AH31" s="4"/>
      <c r="AI31" s="4"/>
      <c r="AJ31" s="4"/>
      <c r="AK31" s="4"/>
      <c r="AL31" s="4"/>
      <c r="AM31" s="4"/>
    </row>
    <row r="32" spans="1:39" x14ac:dyDescent="0.2">
      <c r="A32" s="4"/>
      <c r="B32" s="71">
        <v>28</v>
      </c>
      <c r="C32" s="69" t="str">
        <f>IFERROR(INDEX(Table_Prescript_Meas[Measure Number], MATCH(E32, Table_Prescript_Meas[Measure Description], 0)), "")</f>
        <v/>
      </c>
      <c r="D32" s="61"/>
      <c r="E32" s="60"/>
      <c r="F32" s="69" t="str">
        <f>IFERROR(INDEX(Table_Prescript_Meas[Units], MATCH(Table_Controls_Input[[#This Row],[Measure Number]], Table_Prescript_Meas[Measure Number], 0)), "")</f>
        <v/>
      </c>
      <c r="G32" s="60"/>
      <c r="H32" s="73"/>
      <c r="I32" s="73"/>
      <c r="J32"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32" s="74" t="str">
        <f>IFERROR(Table_Controls_Input[[#This Row],[Number of Units]]*Table_Controls_Input[[#This Row],[Per-Unit Incentive]], "")</f>
        <v/>
      </c>
      <c r="L32" s="75" t="str">
        <f>IFERROR(Table_Controls_Input[[#This Row],[Number of Units]]*INDEX(Table_Prescript_Meas[Deemed kWh Savings], MATCH(Table_Controls_Input[[#This Row],[Measure Number]], Table_Prescript_Meas[Measure Number], 0)),"" )</f>
        <v/>
      </c>
      <c r="M32" s="81" t="str">
        <f>IFERROR(Table_Controls_Input[[#This Row],[Number of Units]]*INDEX(Table_Prescript_Meas[Deemed kW Savings], MATCH(Table_Controls_Input[[#This Row],[Measure Number]], Table_Prescript_Meas[Measure Number], 0)),"" )</f>
        <v/>
      </c>
      <c r="N32" s="74" t="str">
        <f t="shared" si="2"/>
        <v/>
      </c>
      <c r="O32" s="74" t="str">
        <f>IF(Table_Controls_Input[[#This Row],[Measure Number]]="", "", Table_Controls_Input[[#This Row],[Total Equipment Cost]]+Table_Controls_Input[[#This Row],[Total Labor Cost]])</f>
        <v/>
      </c>
      <c r="P32" s="74" t="str">
        <f>IFERROR(Table_Controls_Input[[#This Row],[Gross Measure Cost]]-Table_Controls_Input[[#This Row],[Estimated Incentive]], "")</f>
        <v/>
      </c>
      <c r="Q32" s="75" t="str">
        <f t="shared" si="1"/>
        <v/>
      </c>
      <c r="R32" s="4"/>
      <c r="S32" s="4"/>
      <c r="T32" s="4"/>
      <c r="U32" s="4"/>
      <c r="V32" s="4"/>
      <c r="W32" s="4"/>
      <c r="X32" s="4"/>
      <c r="Y32" s="4"/>
      <c r="Z32" s="4"/>
      <c r="AA32" s="4"/>
      <c r="AB32" s="4"/>
      <c r="AC32" s="4"/>
      <c r="AD32" s="4"/>
      <c r="AE32" s="4"/>
      <c r="AF32" s="4"/>
      <c r="AG32" s="4"/>
      <c r="AH32" s="4"/>
      <c r="AI32" s="4"/>
      <c r="AJ32" s="4"/>
      <c r="AK32" s="4"/>
      <c r="AL32" s="4"/>
      <c r="AM32" s="4"/>
    </row>
    <row r="33" spans="1:39" x14ac:dyDescent="0.2">
      <c r="A33" s="4"/>
      <c r="B33" s="71">
        <v>29</v>
      </c>
      <c r="C33" s="69" t="str">
        <f>IFERROR(INDEX(Table_Prescript_Meas[Measure Number], MATCH(E33, Table_Prescript_Meas[Measure Description], 0)), "")</f>
        <v/>
      </c>
      <c r="D33" s="61"/>
      <c r="E33" s="60"/>
      <c r="F33" s="69" t="str">
        <f>IFERROR(INDEX(Table_Prescript_Meas[Units], MATCH(Table_Controls_Input[[#This Row],[Measure Number]], Table_Prescript_Meas[Measure Number], 0)), "")</f>
        <v/>
      </c>
      <c r="G33" s="60"/>
      <c r="H33" s="73"/>
      <c r="I33" s="73"/>
      <c r="J33"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33" s="74" t="str">
        <f>IFERROR(Table_Controls_Input[[#This Row],[Number of Units]]*Table_Controls_Input[[#This Row],[Per-Unit Incentive]], "")</f>
        <v/>
      </c>
      <c r="L33" s="75" t="str">
        <f>IFERROR(Table_Controls_Input[[#This Row],[Number of Units]]*INDEX(Table_Prescript_Meas[Deemed kWh Savings], MATCH(Table_Controls_Input[[#This Row],[Measure Number]], Table_Prescript_Meas[Measure Number], 0)),"" )</f>
        <v/>
      </c>
      <c r="M33" s="81" t="str">
        <f>IFERROR(Table_Controls_Input[[#This Row],[Number of Units]]*INDEX(Table_Prescript_Meas[Deemed kW Savings], MATCH(Table_Controls_Input[[#This Row],[Measure Number]], Table_Prescript_Meas[Measure Number], 0)),"" )</f>
        <v/>
      </c>
      <c r="N33" s="74" t="str">
        <f t="shared" si="2"/>
        <v/>
      </c>
      <c r="O33" s="74" t="str">
        <f>IF(Table_Controls_Input[[#This Row],[Measure Number]]="", "", Table_Controls_Input[[#This Row],[Total Equipment Cost]]+Table_Controls_Input[[#This Row],[Total Labor Cost]])</f>
        <v/>
      </c>
      <c r="P33" s="74" t="str">
        <f>IFERROR(Table_Controls_Input[[#This Row],[Gross Measure Cost]]-Table_Controls_Input[[#This Row],[Estimated Incentive]], "")</f>
        <v/>
      </c>
      <c r="Q33" s="75" t="str">
        <f t="shared" si="1"/>
        <v/>
      </c>
      <c r="R33" s="4"/>
      <c r="S33" s="4"/>
      <c r="T33" s="4"/>
      <c r="U33" s="4"/>
      <c r="V33" s="4"/>
      <c r="W33" s="4"/>
      <c r="X33" s="4"/>
      <c r="Y33" s="4"/>
      <c r="Z33" s="4"/>
      <c r="AA33" s="4"/>
      <c r="AB33" s="4"/>
      <c r="AC33" s="4"/>
      <c r="AD33" s="4"/>
      <c r="AE33" s="4"/>
      <c r="AF33" s="4"/>
      <c r="AG33" s="4"/>
      <c r="AH33" s="4"/>
      <c r="AI33" s="4"/>
      <c r="AJ33" s="4"/>
      <c r="AK33" s="4"/>
      <c r="AL33" s="4"/>
      <c r="AM33" s="4"/>
    </row>
    <row r="34" spans="1:39" x14ac:dyDescent="0.2">
      <c r="A34" s="4"/>
      <c r="B34" s="71">
        <v>30</v>
      </c>
      <c r="C34" s="69" t="str">
        <f>IFERROR(INDEX(Table_Prescript_Meas[Measure Number], MATCH(E34, Table_Prescript_Meas[Measure Description], 0)), "")</f>
        <v/>
      </c>
      <c r="D34" s="61"/>
      <c r="E34" s="60"/>
      <c r="F34" s="69" t="str">
        <f>IFERROR(INDEX(Table_Prescript_Meas[Units], MATCH(Table_Controls_Input[[#This Row],[Measure Number]], Table_Prescript_Meas[Measure Number], 0)), "")</f>
        <v/>
      </c>
      <c r="G34" s="60"/>
      <c r="H34" s="73"/>
      <c r="I34" s="73"/>
      <c r="J34" s="74" t="str">
        <f>IFERROR(IF(Input_ProgramType=References!$W$4, INDEX(Table_Prescript_Meas[Incentive - SC], MATCH(Table_Controls_Input[[#This Row],[Measure Number]], Table_Prescript_Meas[Measure Number], 0)), INDEX(Table_Prescript_Meas[Incentive - LC], MATCH(Table_Controls_Input[[#This Row],[Measure Number]], Table_Prescript_Meas[Measure Number], 0))), "")</f>
        <v/>
      </c>
      <c r="K34" s="74" t="str">
        <f>IFERROR(Table_Controls_Input[[#This Row],[Number of Units]]*Table_Controls_Input[[#This Row],[Per-Unit Incentive]], "")</f>
        <v/>
      </c>
      <c r="L34" s="75" t="str">
        <f>IFERROR(Table_Controls_Input[[#This Row],[Number of Units]]*INDEX(Table_Prescript_Meas[Deemed kWh Savings], MATCH(Table_Controls_Input[[#This Row],[Measure Number]], Table_Prescript_Meas[Measure Number], 0)),"" )</f>
        <v/>
      </c>
      <c r="M34" s="81" t="str">
        <f>IFERROR(Table_Controls_Input[[#This Row],[Number of Units]]*INDEX(Table_Prescript_Meas[Deemed kW Savings], MATCH(Table_Controls_Input[[#This Row],[Measure Number]], Table_Prescript_Meas[Measure Number], 0)),"" )</f>
        <v/>
      </c>
      <c r="N34" s="74" t="str">
        <f t="shared" si="2"/>
        <v/>
      </c>
      <c r="O34" s="74" t="str">
        <f>IF(Table_Controls_Input[[#This Row],[Measure Number]]="", "", Table_Controls_Input[[#This Row],[Total Equipment Cost]]+Table_Controls_Input[[#This Row],[Total Labor Cost]])</f>
        <v/>
      </c>
      <c r="P34" s="74" t="str">
        <f>IFERROR(Table_Controls_Input[[#This Row],[Gross Measure Cost]]-Table_Controls_Input[[#This Row],[Estimated Incentive]], "")</f>
        <v/>
      </c>
      <c r="Q34" s="75" t="str">
        <f t="shared" si="1"/>
        <v/>
      </c>
      <c r="R34" s="4"/>
      <c r="S34" s="4"/>
      <c r="T34" s="4"/>
      <c r="U34" s="4"/>
      <c r="V34" s="4"/>
      <c r="W34" s="4"/>
      <c r="X34" s="4"/>
      <c r="Y34" s="4"/>
      <c r="Z34" s="4"/>
      <c r="AA34" s="4"/>
      <c r="AB34" s="4"/>
      <c r="AC34" s="4"/>
      <c r="AD34" s="4"/>
      <c r="AE34" s="4"/>
      <c r="AF34" s="4"/>
      <c r="AG34" s="4"/>
      <c r="AH34" s="4"/>
      <c r="AI34" s="4"/>
      <c r="AJ34" s="4"/>
      <c r="AK34" s="4"/>
      <c r="AL34" s="4"/>
      <c r="AM34" s="4"/>
    </row>
    <row r="35" spans="1:39" x14ac:dyDescent="0.2">
      <c r="A35" s="4"/>
      <c r="R35" s="4"/>
      <c r="S35" s="4"/>
      <c r="T35" s="4"/>
      <c r="U35" s="4"/>
      <c r="V35" s="4"/>
      <c r="W35" s="4"/>
      <c r="X35" s="4"/>
      <c r="Y35" s="4"/>
      <c r="Z35" s="4"/>
      <c r="AA35" s="4"/>
      <c r="AB35" s="4"/>
      <c r="AC35" s="4"/>
      <c r="AD35" s="4"/>
      <c r="AE35" s="4"/>
      <c r="AF35" s="4"/>
      <c r="AG35" s="4"/>
      <c r="AH35" s="4"/>
      <c r="AI35" s="4"/>
      <c r="AJ35" s="4"/>
      <c r="AK35" s="4"/>
      <c r="AL35" s="4"/>
      <c r="AM35" s="4"/>
    </row>
    <row r="36" spans="1:39" x14ac:dyDescent="0.2"/>
    <row r="37" spans="1:39" x14ac:dyDescent="0.2">
      <c r="B37" t="s">
        <v>11</v>
      </c>
    </row>
    <row r="38" spans="1:39" x14ac:dyDescent="0.2">
      <c r="B38" t="str">
        <f>Value_Application_Version</f>
        <v>Version 3.1</v>
      </c>
    </row>
    <row r="39" spans="1:39" x14ac:dyDescent="0.2"/>
    <row r="40" spans="1:39" x14ac:dyDescent="0.2">
      <c r="A40" s="4"/>
      <c r="R40" s="4"/>
      <c r="S40" s="4"/>
      <c r="T40" s="4"/>
      <c r="U40" s="4"/>
      <c r="V40" s="4"/>
      <c r="W40" s="4"/>
      <c r="X40" s="4"/>
      <c r="Y40" s="4"/>
      <c r="Z40" s="4"/>
      <c r="AA40" s="4"/>
      <c r="AB40" s="4"/>
      <c r="AC40" s="4"/>
      <c r="AD40" s="4"/>
      <c r="AE40" s="4"/>
      <c r="AF40" s="4"/>
      <c r="AG40" s="4"/>
      <c r="AH40" s="4"/>
      <c r="AI40" s="4"/>
      <c r="AJ40" s="4"/>
      <c r="AK40" s="4"/>
      <c r="AL40" s="4"/>
      <c r="AM40" s="4"/>
    </row>
    <row r="41" spans="1:39" x14ac:dyDescent="0.2">
      <c r="A41" s="4"/>
      <c r="R41" s="4"/>
      <c r="S41" s="4"/>
      <c r="T41" s="4"/>
      <c r="U41" s="4"/>
      <c r="V41" s="4"/>
      <c r="W41" s="4"/>
      <c r="X41" s="4"/>
      <c r="Y41" s="4"/>
      <c r="Z41" s="4"/>
      <c r="AA41" s="4"/>
      <c r="AB41" s="4"/>
      <c r="AC41" s="4"/>
      <c r="AD41" s="4"/>
      <c r="AE41" s="4"/>
      <c r="AF41" s="4"/>
      <c r="AG41" s="4"/>
      <c r="AH41" s="4"/>
      <c r="AI41" s="4"/>
      <c r="AJ41" s="4"/>
      <c r="AK41" s="4"/>
      <c r="AL41" s="4"/>
      <c r="AM41" s="4"/>
    </row>
    <row r="42" spans="1:39" x14ac:dyDescent="0.2">
      <c r="A42" s="4"/>
      <c r="R42" s="4"/>
      <c r="S42" s="4"/>
      <c r="T42" s="4"/>
      <c r="U42" s="4"/>
      <c r="V42" s="4"/>
      <c r="W42" s="4"/>
      <c r="X42" s="4"/>
      <c r="Y42" s="4"/>
      <c r="Z42" s="4"/>
      <c r="AA42" s="4"/>
      <c r="AB42" s="4"/>
      <c r="AC42" s="4"/>
      <c r="AD42" s="4"/>
      <c r="AE42" s="4"/>
      <c r="AF42" s="4"/>
      <c r="AG42" s="4"/>
      <c r="AH42" s="4"/>
      <c r="AI42" s="4"/>
      <c r="AJ42" s="4"/>
      <c r="AK42" s="4"/>
      <c r="AL42" s="4"/>
      <c r="AM42" s="4"/>
    </row>
    <row r="43" spans="1:39" x14ac:dyDescent="0.2">
      <c r="A43" s="4"/>
      <c r="R43" s="4"/>
      <c r="S43" s="4"/>
      <c r="T43" s="4"/>
      <c r="U43" s="4"/>
      <c r="V43" s="4"/>
      <c r="W43" s="4"/>
      <c r="X43" s="4"/>
      <c r="Y43" s="4"/>
      <c r="Z43" s="4"/>
      <c r="AA43" s="4"/>
      <c r="AB43" s="4"/>
      <c r="AC43" s="4"/>
      <c r="AD43" s="4"/>
      <c r="AE43" s="4"/>
      <c r="AF43" s="4"/>
      <c r="AG43" s="4"/>
      <c r="AH43" s="4"/>
      <c r="AI43" s="4"/>
      <c r="AJ43" s="4"/>
      <c r="AK43" s="4"/>
      <c r="AL43" s="4"/>
      <c r="AM43" s="4"/>
    </row>
    <row r="44" spans="1:39" x14ac:dyDescent="0.2">
      <c r="A44" s="4"/>
      <c r="R44" s="4"/>
      <c r="S44" s="4"/>
      <c r="T44" s="4"/>
      <c r="U44" s="4"/>
      <c r="V44" s="4"/>
      <c r="W44" s="4"/>
      <c r="X44" s="4"/>
      <c r="Y44" s="4"/>
      <c r="Z44" s="4"/>
      <c r="AA44" s="4"/>
      <c r="AB44" s="4"/>
      <c r="AC44" s="4"/>
      <c r="AD44" s="4"/>
      <c r="AE44" s="4"/>
      <c r="AF44" s="4"/>
      <c r="AG44" s="4"/>
      <c r="AH44" s="4"/>
      <c r="AI44" s="4"/>
      <c r="AJ44" s="4"/>
      <c r="AK44" s="4"/>
      <c r="AL44" s="4"/>
      <c r="AM44" s="4"/>
    </row>
    <row r="45" spans="1:39" x14ac:dyDescent="0.2">
      <c r="A45" s="4"/>
      <c r="R45" s="4"/>
      <c r="S45" s="4"/>
      <c r="T45" s="4"/>
      <c r="U45" s="4"/>
      <c r="V45" s="4"/>
      <c r="W45" s="4"/>
      <c r="X45" s="4"/>
      <c r="Y45" s="4"/>
      <c r="Z45" s="4"/>
      <c r="AA45" s="4"/>
      <c r="AB45" s="4"/>
      <c r="AC45" s="4"/>
      <c r="AD45" s="4"/>
      <c r="AE45" s="4"/>
      <c r="AF45" s="4"/>
      <c r="AG45" s="4"/>
      <c r="AH45" s="4"/>
      <c r="AI45" s="4"/>
      <c r="AJ45" s="4"/>
      <c r="AK45" s="4"/>
      <c r="AL45" s="4"/>
      <c r="AM45" s="4"/>
    </row>
    <row r="46" spans="1:39" x14ac:dyDescent="0.2">
      <c r="A46" s="4"/>
      <c r="R46" s="4"/>
      <c r="S46" s="4"/>
      <c r="T46" s="4"/>
      <c r="U46" s="4"/>
      <c r="V46" s="4"/>
      <c r="W46" s="4"/>
      <c r="X46" s="4"/>
      <c r="Y46" s="4"/>
      <c r="Z46" s="4"/>
      <c r="AA46" s="4"/>
      <c r="AB46" s="4"/>
      <c r="AC46" s="4"/>
      <c r="AD46" s="4"/>
      <c r="AE46" s="4"/>
      <c r="AF46" s="4"/>
      <c r="AG46" s="4"/>
      <c r="AH46" s="4"/>
      <c r="AI46" s="4"/>
      <c r="AJ46" s="4"/>
      <c r="AK46" s="4"/>
      <c r="AL46" s="4"/>
      <c r="AM46" s="4"/>
    </row>
    <row r="47" spans="1:39" x14ac:dyDescent="0.2">
      <c r="A47" s="4"/>
      <c r="R47" s="4"/>
      <c r="S47" s="4"/>
      <c r="T47" s="4"/>
      <c r="U47" s="4"/>
      <c r="V47" s="4"/>
      <c r="W47" s="4"/>
      <c r="X47" s="4"/>
      <c r="Y47" s="4"/>
      <c r="Z47" s="4"/>
      <c r="AA47" s="4"/>
      <c r="AB47" s="4"/>
      <c r="AC47" s="4"/>
      <c r="AD47" s="4"/>
      <c r="AE47" s="4"/>
      <c r="AF47" s="4"/>
      <c r="AG47" s="4"/>
      <c r="AH47" s="4"/>
      <c r="AI47" s="4"/>
      <c r="AJ47" s="4"/>
      <c r="AK47" s="4"/>
      <c r="AL47" s="4"/>
      <c r="AM47" s="4"/>
    </row>
    <row r="48" spans="1:39" x14ac:dyDescent="0.2">
      <c r="A48" s="4"/>
      <c r="R48" s="4"/>
      <c r="S48" s="4"/>
      <c r="T48" s="4"/>
      <c r="U48" s="4"/>
      <c r="V48" s="4"/>
      <c r="W48" s="4"/>
      <c r="X48" s="4"/>
      <c r="Y48" s="4"/>
      <c r="Z48" s="4"/>
      <c r="AA48" s="4"/>
      <c r="AB48" s="4"/>
      <c r="AC48" s="4"/>
      <c r="AD48" s="4"/>
      <c r="AE48" s="4"/>
      <c r="AF48" s="4"/>
      <c r="AG48" s="4"/>
      <c r="AH48" s="4"/>
      <c r="AI48" s="4"/>
      <c r="AJ48" s="4"/>
      <c r="AK48" s="4"/>
      <c r="AL48" s="4"/>
      <c r="AM48" s="4"/>
    </row>
    <row r="49" spans="1:39" x14ac:dyDescent="0.2">
      <c r="A49" s="4"/>
      <c r="R49" s="4"/>
      <c r="S49" s="4"/>
      <c r="T49" s="4"/>
      <c r="U49" s="4"/>
      <c r="V49" s="4"/>
      <c r="W49" s="4"/>
      <c r="X49" s="4"/>
      <c r="Y49" s="4"/>
      <c r="Z49" s="4"/>
      <c r="AA49" s="4"/>
      <c r="AB49" s="4"/>
      <c r="AC49" s="4"/>
      <c r="AD49" s="4"/>
      <c r="AE49" s="4"/>
      <c r="AF49" s="4"/>
      <c r="AG49" s="4"/>
      <c r="AH49" s="4"/>
      <c r="AI49" s="4"/>
      <c r="AJ49" s="4"/>
      <c r="AK49" s="4"/>
      <c r="AL49" s="4"/>
      <c r="AM49" s="4"/>
    </row>
    <row r="50" spans="1:39" x14ac:dyDescent="0.2">
      <c r="A50" s="4"/>
      <c r="R50" s="4"/>
      <c r="S50" s="4"/>
      <c r="T50" s="4"/>
      <c r="U50" s="4"/>
      <c r="V50" s="4"/>
      <c r="W50" s="4"/>
      <c r="X50" s="4"/>
      <c r="Y50" s="4"/>
      <c r="Z50" s="4"/>
      <c r="AA50" s="4"/>
      <c r="AB50" s="4"/>
      <c r="AC50" s="4"/>
      <c r="AD50" s="4"/>
      <c r="AE50" s="4"/>
      <c r="AF50" s="4"/>
      <c r="AG50" s="4"/>
      <c r="AH50" s="4"/>
      <c r="AI50" s="4"/>
      <c r="AJ50" s="4"/>
      <c r="AK50" s="4"/>
      <c r="AL50" s="4"/>
      <c r="AM50" s="4"/>
    </row>
    <row r="51" spans="1:39" x14ac:dyDescent="0.2">
      <c r="A51" s="4"/>
      <c r="R51" s="4"/>
      <c r="S51" s="4"/>
      <c r="T51" s="4"/>
      <c r="U51" s="4"/>
      <c r="V51" s="4"/>
      <c r="W51" s="4"/>
      <c r="X51" s="4"/>
      <c r="Y51" s="4"/>
      <c r="Z51" s="4"/>
      <c r="AA51" s="4"/>
      <c r="AB51" s="4"/>
      <c r="AC51" s="4"/>
      <c r="AD51" s="4"/>
      <c r="AE51" s="4"/>
      <c r="AF51" s="4"/>
      <c r="AG51" s="4"/>
      <c r="AH51" s="4"/>
      <c r="AI51" s="4"/>
      <c r="AJ51" s="4"/>
      <c r="AK51" s="4"/>
      <c r="AL51" s="4"/>
      <c r="AM51" s="4"/>
    </row>
    <row r="52" spans="1:39" x14ac:dyDescent="0.2">
      <c r="A52" s="4"/>
      <c r="R52" s="4"/>
      <c r="S52" s="4"/>
      <c r="T52" s="4"/>
      <c r="U52" s="4"/>
      <c r="V52" s="4"/>
      <c r="W52" s="4"/>
      <c r="X52" s="4"/>
      <c r="Y52" s="4"/>
      <c r="Z52" s="4"/>
      <c r="AA52" s="4"/>
      <c r="AB52" s="4"/>
      <c r="AC52" s="4"/>
      <c r="AD52" s="4"/>
      <c r="AE52" s="4"/>
      <c r="AF52" s="4"/>
      <c r="AG52" s="4"/>
      <c r="AH52" s="4"/>
      <c r="AI52" s="4"/>
      <c r="AJ52" s="4"/>
      <c r="AK52" s="4"/>
      <c r="AL52" s="4"/>
      <c r="AM52" s="4"/>
    </row>
    <row r="53" spans="1:39" x14ac:dyDescent="0.2">
      <c r="A53" s="4"/>
      <c r="R53" s="4"/>
      <c r="S53" s="4"/>
      <c r="T53" s="4"/>
      <c r="U53" s="4"/>
      <c r="V53" s="4"/>
      <c r="W53" s="4"/>
      <c r="X53" s="4"/>
      <c r="Y53" s="4"/>
      <c r="Z53" s="4"/>
      <c r="AA53" s="4"/>
      <c r="AB53" s="4"/>
      <c r="AC53" s="4"/>
      <c r="AD53" s="4"/>
      <c r="AE53" s="4"/>
      <c r="AF53" s="4"/>
      <c r="AG53" s="4"/>
      <c r="AH53" s="4"/>
      <c r="AI53" s="4"/>
      <c r="AJ53" s="4"/>
      <c r="AK53" s="4"/>
      <c r="AL53" s="4"/>
      <c r="AM53" s="4"/>
    </row>
    <row r="54" spans="1:39" x14ac:dyDescent="0.2">
      <c r="A54" s="4"/>
      <c r="R54" s="4"/>
      <c r="S54" s="4"/>
      <c r="T54" s="4"/>
      <c r="U54" s="4"/>
      <c r="V54" s="4"/>
      <c r="W54" s="4"/>
      <c r="X54" s="4"/>
      <c r="Y54" s="4"/>
      <c r="Z54" s="4"/>
      <c r="AA54" s="4"/>
      <c r="AB54" s="4"/>
      <c r="AC54" s="4"/>
      <c r="AD54" s="4"/>
      <c r="AE54" s="4"/>
      <c r="AF54" s="4"/>
      <c r="AG54" s="4"/>
      <c r="AH54" s="4"/>
      <c r="AI54" s="4"/>
      <c r="AJ54" s="4"/>
      <c r="AK54" s="4"/>
      <c r="AL54" s="4"/>
      <c r="AM54" s="4"/>
    </row>
    <row r="55" spans="1:39" x14ac:dyDescent="0.2">
      <c r="A55" s="4"/>
      <c r="R55" s="4"/>
      <c r="S55" s="4"/>
      <c r="T55" s="4"/>
      <c r="U55" s="4"/>
      <c r="V55" s="4"/>
      <c r="W55" s="4"/>
      <c r="X55" s="4"/>
      <c r="Y55" s="4"/>
      <c r="Z55" s="4"/>
      <c r="AA55" s="4"/>
      <c r="AB55" s="4"/>
      <c r="AC55" s="4"/>
      <c r="AD55" s="4"/>
      <c r="AE55" s="4"/>
      <c r="AF55" s="4"/>
      <c r="AG55" s="4"/>
      <c r="AH55" s="4"/>
      <c r="AI55" s="4"/>
      <c r="AJ55" s="4"/>
      <c r="AK55" s="4"/>
      <c r="AL55" s="4"/>
      <c r="AM55" s="4"/>
    </row>
    <row r="56" spans="1:39" x14ac:dyDescent="0.2">
      <c r="A56" s="4"/>
      <c r="R56" s="4"/>
      <c r="S56" s="4"/>
      <c r="T56" s="4"/>
      <c r="U56" s="4"/>
      <c r="V56" s="4"/>
      <c r="W56" s="4"/>
      <c r="X56" s="4"/>
      <c r="Y56" s="4"/>
      <c r="Z56" s="4"/>
      <c r="AA56" s="4"/>
      <c r="AB56" s="4"/>
      <c r="AC56" s="4"/>
      <c r="AD56" s="4"/>
      <c r="AE56" s="4"/>
      <c r="AF56" s="4"/>
      <c r="AG56" s="4"/>
      <c r="AH56" s="4"/>
      <c r="AI56" s="4"/>
      <c r="AJ56" s="4"/>
      <c r="AK56" s="4"/>
      <c r="AL56" s="4"/>
      <c r="AM56" s="4"/>
    </row>
    <row r="57" spans="1:39" x14ac:dyDescent="0.2">
      <c r="A57" s="4"/>
      <c r="R57" s="4"/>
      <c r="S57" s="4"/>
      <c r="T57" s="4"/>
      <c r="U57" s="4"/>
      <c r="V57" s="4"/>
      <c r="W57" s="4"/>
      <c r="X57" s="4"/>
      <c r="Y57" s="4"/>
      <c r="Z57" s="4"/>
      <c r="AA57" s="4"/>
      <c r="AB57" s="4"/>
      <c r="AC57" s="4"/>
      <c r="AD57" s="4"/>
      <c r="AE57" s="4"/>
      <c r="AF57" s="4"/>
      <c r="AG57" s="4"/>
      <c r="AH57" s="4"/>
      <c r="AI57" s="4"/>
      <c r="AJ57" s="4"/>
      <c r="AK57" s="4"/>
      <c r="AL57" s="4"/>
      <c r="AM57" s="4"/>
    </row>
    <row r="58" spans="1:39" x14ac:dyDescent="0.2">
      <c r="A58" s="4"/>
      <c r="R58" s="4"/>
      <c r="S58" s="4"/>
      <c r="T58" s="4"/>
      <c r="U58" s="4"/>
      <c r="V58" s="4"/>
      <c r="W58" s="4"/>
      <c r="X58" s="4"/>
      <c r="Y58" s="4"/>
      <c r="Z58" s="4"/>
      <c r="AA58" s="4"/>
      <c r="AB58" s="4"/>
      <c r="AC58" s="4"/>
      <c r="AD58" s="4"/>
      <c r="AE58" s="4"/>
      <c r="AF58" s="4"/>
      <c r="AG58" s="4"/>
      <c r="AH58" s="4"/>
      <c r="AI58" s="4"/>
      <c r="AJ58" s="4"/>
      <c r="AK58" s="4"/>
      <c r="AL58" s="4"/>
      <c r="AM58" s="4"/>
    </row>
    <row r="59" spans="1:39" x14ac:dyDescent="0.2">
      <c r="A59" s="4"/>
      <c r="R59" s="4"/>
      <c r="S59" s="4"/>
      <c r="T59" s="4"/>
      <c r="U59" s="4"/>
      <c r="V59" s="4"/>
      <c r="W59" s="4"/>
      <c r="X59" s="4"/>
      <c r="Y59" s="4"/>
      <c r="Z59" s="4"/>
      <c r="AA59" s="4"/>
      <c r="AB59" s="4"/>
      <c r="AC59" s="4"/>
      <c r="AD59" s="4"/>
      <c r="AE59" s="4"/>
      <c r="AF59" s="4"/>
      <c r="AG59" s="4"/>
      <c r="AH59" s="4"/>
      <c r="AI59" s="4"/>
      <c r="AJ59" s="4"/>
      <c r="AK59" s="4"/>
      <c r="AL59" s="4"/>
      <c r="AM59" s="4"/>
    </row>
    <row r="60" spans="1:39" x14ac:dyDescent="0.2">
      <c r="A60" s="4"/>
      <c r="R60" s="4"/>
      <c r="S60" s="4"/>
      <c r="T60" s="4"/>
      <c r="U60" s="4"/>
      <c r="V60" s="4"/>
      <c r="W60" s="4"/>
      <c r="X60" s="4"/>
      <c r="Y60" s="4"/>
      <c r="Z60" s="4"/>
      <c r="AA60" s="4"/>
      <c r="AB60" s="4"/>
      <c r="AC60" s="4"/>
      <c r="AD60" s="4"/>
      <c r="AE60" s="4"/>
      <c r="AF60" s="4"/>
      <c r="AG60" s="4"/>
      <c r="AH60" s="4"/>
      <c r="AI60" s="4"/>
      <c r="AJ60" s="4"/>
      <c r="AK60" s="4"/>
      <c r="AL60" s="4"/>
      <c r="AM60" s="4"/>
    </row>
    <row r="61" spans="1:39" x14ac:dyDescent="0.2">
      <c r="A61" s="4"/>
      <c r="R61" s="4"/>
      <c r="S61" s="4"/>
      <c r="T61" s="4"/>
      <c r="U61" s="4"/>
      <c r="V61" s="4"/>
      <c r="W61" s="4"/>
      <c r="X61" s="4"/>
      <c r="Y61" s="4"/>
      <c r="Z61" s="4"/>
      <c r="AA61" s="4"/>
      <c r="AB61" s="4"/>
      <c r="AC61" s="4"/>
      <c r="AD61" s="4"/>
      <c r="AE61" s="4"/>
      <c r="AF61" s="4"/>
      <c r="AG61" s="4"/>
      <c r="AH61" s="4"/>
      <c r="AI61" s="4"/>
      <c r="AJ61" s="4"/>
      <c r="AK61" s="4"/>
      <c r="AL61" s="4"/>
      <c r="AM61" s="4"/>
    </row>
    <row r="62" spans="1:39" x14ac:dyDescent="0.2">
      <c r="A62" s="4"/>
      <c r="R62" s="4"/>
      <c r="S62" s="4"/>
      <c r="T62" s="4"/>
      <c r="U62" s="4"/>
      <c r="V62" s="4"/>
      <c r="W62" s="4"/>
      <c r="X62" s="4"/>
      <c r="Y62" s="4"/>
      <c r="Z62" s="4"/>
      <c r="AA62" s="4"/>
      <c r="AB62" s="4"/>
      <c r="AC62" s="4"/>
      <c r="AD62" s="4"/>
      <c r="AE62" s="4"/>
      <c r="AF62" s="4"/>
      <c r="AG62" s="4"/>
      <c r="AH62" s="4"/>
      <c r="AI62" s="4"/>
      <c r="AJ62" s="4"/>
      <c r="AK62" s="4"/>
      <c r="AL62" s="4"/>
      <c r="AM62" s="4"/>
    </row>
    <row r="63" spans="1:39" x14ac:dyDescent="0.2">
      <c r="A63" s="4"/>
      <c r="R63" s="4"/>
      <c r="S63" s="4"/>
      <c r="T63" s="4"/>
      <c r="U63" s="4"/>
      <c r="V63" s="4"/>
      <c r="W63" s="4"/>
      <c r="X63" s="4"/>
      <c r="Y63" s="4"/>
      <c r="Z63" s="4"/>
      <c r="AA63" s="4"/>
      <c r="AB63" s="4"/>
      <c r="AC63" s="4"/>
      <c r="AD63" s="4"/>
      <c r="AE63" s="4"/>
      <c r="AF63" s="4"/>
      <c r="AG63" s="4"/>
      <c r="AH63" s="4"/>
      <c r="AI63" s="4"/>
      <c r="AJ63" s="4"/>
      <c r="AK63" s="4"/>
      <c r="AL63" s="4"/>
      <c r="AM63" s="4"/>
    </row>
    <row r="64" spans="1:39" x14ac:dyDescent="0.2">
      <c r="A64" s="4"/>
      <c r="R64" s="4"/>
      <c r="S64" s="4"/>
      <c r="T64" s="4"/>
      <c r="U64" s="4"/>
      <c r="V64" s="4"/>
      <c r="W64" s="4"/>
      <c r="X64" s="4"/>
      <c r="Y64" s="4"/>
      <c r="Z64" s="4"/>
      <c r="AA64" s="4"/>
      <c r="AB64" s="4"/>
      <c r="AC64" s="4"/>
      <c r="AD64" s="4"/>
      <c r="AE64" s="4"/>
      <c r="AF64" s="4"/>
      <c r="AG64" s="4"/>
      <c r="AH64" s="4"/>
      <c r="AI64" s="4"/>
      <c r="AJ64" s="4"/>
      <c r="AK64" s="4"/>
      <c r="AL64" s="4"/>
      <c r="AM64" s="4"/>
    </row>
    <row r="65" spans="1:39" x14ac:dyDescent="0.2">
      <c r="A65" s="4"/>
      <c r="R65" s="4"/>
      <c r="S65" s="4"/>
      <c r="T65" s="4"/>
      <c r="U65" s="4"/>
      <c r="V65" s="4"/>
      <c r="W65" s="4"/>
      <c r="X65" s="4"/>
      <c r="Y65" s="4"/>
      <c r="Z65" s="4"/>
      <c r="AA65" s="4"/>
      <c r="AB65" s="4"/>
      <c r="AC65" s="4"/>
      <c r="AD65" s="4"/>
      <c r="AE65" s="4"/>
      <c r="AF65" s="4"/>
      <c r="AG65" s="4"/>
      <c r="AH65" s="4"/>
      <c r="AI65" s="4"/>
      <c r="AJ65" s="4"/>
      <c r="AK65" s="4"/>
      <c r="AL65" s="4"/>
      <c r="AM65" s="4"/>
    </row>
    <row r="66" spans="1:39" x14ac:dyDescent="0.2">
      <c r="A66" s="4"/>
      <c r="R66" s="4"/>
      <c r="S66" s="4"/>
      <c r="T66" s="4"/>
      <c r="U66" s="4"/>
      <c r="V66" s="4"/>
      <c r="W66" s="4"/>
      <c r="X66" s="4"/>
      <c r="Y66" s="4"/>
      <c r="Z66" s="4"/>
      <c r="AA66" s="4"/>
      <c r="AB66" s="4"/>
      <c r="AC66" s="4"/>
      <c r="AD66" s="4"/>
      <c r="AE66" s="4"/>
      <c r="AF66" s="4"/>
      <c r="AG66" s="4"/>
      <c r="AH66" s="4"/>
      <c r="AI66" s="4"/>
      <c r="AJ66" s="4"/>
      <c r="AK66" s="4"/>
      <c r="AL66" s="4"/>
      <c r="AM66" s="4"/>
    </row>
    <row r="67" spans="1:39" x14ac:dyDescent="0.2">
      <c r="A67" s="4"/>
      <c r="R67" s="4"/>
      <c r="S67" s="4"/>
      <c r="T67" s="4"/>
      <c r="U67" s="4"/>
      <c r="V67" s="4"/>
      <c r="W67" s="4"/>
      <c r="X67" s="4"/>
      <c r="Y67" s="4"/>
      <c r="Z67" s="4"/>
      <c r="AA67" s="4"/>
      <c r="AB67" s="4"/>
      <c r="AC67" s="4"/>
      <c r="AD67" s="4"/>
      <c r="AE67" s="4"/>
      <c r="AF67" s="4"/>
      <c r="AG67" s="4"/>
      <c r="AH67" s="4"/>
      <c r="AI67" s="4"/>
      <c r="AJ67" s="4"/>
      <c r="AK67" s="4"/>
      <c r="AL67" s="4"/>
      <c r="AM67" s="4"/>
    </row>
    <row r="68" spans="1:39" x14ac:dyDescent="0.2">
      <c r="A68" s="4"/>
      <c r="R68" s="4"/>
      <c r="S68" s="4"/>
      <c r="T68" s="4"/>
      <c r="U68" s="4"/>
      <c r="V68" s="4"/>
      <c r="W68" s="4"/>
      <c r="X68" s="4"/>
      <c r="Y68" s="4"/>
      <c r="Z68" s="4"/>
      <c r="AA68" s="4"/>
      <c r="AB68" s="4"/>
      <c r="AC68" s="4"/>
      <c r="AD68" s="4"/>
      <c r="AE68" s="4"/>
      <c r="AF68" s="4"/>
      <c r="AG68" s="4"/>
      <c r="AH68" s="4"/>
      <c r="AI68" s="4"/>
      <c r="AJ68" s="4"/>
      <c r="AK68" s="4"/>
      <c r="AL68" s="4"/>
      <c r="AM68" s="4"/>
    </row>
    <row r="69" spans="1:39" x14ac:dyDescent="0.2">
      <c r="A69" s="4"/>
      <c r="R69" s="4"/>
      <c r="S69" s="4"/>
      <c r="T69" s="4"/>
      <c r="U69" s="4"/>
      <c r="V69" s="4"/>
      <c r="W69" s="4"/>
      <c r="X69" s="4"/>
      <c r="Y69" s="4"/>
      <c r="Z69" s="4"/>
      <c r="AA69" s="4"/>
      <c r="AB69" s="4"/>
      <c r="AC69" s="4"/>
      <c r="AD69" s="4"/>
      <c r="AE69" s="4"/>
      <c r="AF69" s="4"/>
      <c r="AG69" s="4"/>
      <c r="AH69" s="4"/>
      <c r="AI69" s="4"/>
      <c r="AJ69" s="4"/>
      <c r="AK69" s="4"/>
      <c r="AL69" s="4"/>
      <c r="AM69" s="4"/>
    </row>
    <row r="70" spans="1:39" x14ac:dyDescent="0.2">
      <c r="A70" s="4"/>
      <c r="R70" s="4"/>
      <c r="S70" s="4"/>
      <c r="T70" s="4"/>
      <c r="U70" s="4"/>
      <c r="V70" s="4"/>
      <c r="W70" s="4"/>
      <c r="X70" s="4"/>
      <c r="Y70" s="4"/>
      <c r="Z70" s="4"/>
      <c r="AA70" s="4"/>
      <c r="AB70" s="4"/>
      <c r="AC70" s="4"/>
      <c r="AD70" s="4"/>
      <c r="AE70" s="4"/>
      <c r="AF70" s="4"/>
      <c r="AG70" s="4"/>
      <c r="AH70" s="4"/>
      <c r="AI70" s="4"/>
      <c r="AJ70" s="4"/>
      <c r="AK70" s="4"/>
      <c r="AL70" s="4"/>
      <c r="AM70" s="4"/>
    </row>
    <row r="71" spans="1:39" x14ac:dyDescent="0.2">
      <c r="A71" s="4"/>
      <c r="R71" s="4"/>
      <c r="S71" s="4"/>
      <c r="T71" s="4"/>
      <c r="U71" s="4"/>
      <c r="V71" s="4"/>
      <c r="W71" s="4"/>
      <c r="X71" s="4"/>
      <c r="Y71" s="4"/>
      <c r="Z71" s="4"/>
      <c r="AA71" s="4"/>
      <c r="AB71" s="4"/>
      <c r="AC71" s="4"/>
      <c r="AD71" s="4"/>
      <c r="AE71" s="4"/>
      <c r="AF71" s="4"/>
      <c r="AG71" s="4"/>
      <c r="AH71" s="4"/>
      <c r="AI71" s="4"/>
      <c r="AJ71" s="4"/>
      <c r="AK71" s="4"/>
      <c r="AL71" s="4"/>
      <c r="AM71" s="4"/>
    </row>
    <row r="72" spans="1:39" x14ac:dyDescent="0.2">
      <c r="A72" s="4"/>
      <c r="R72" s="4"/>
      <c r="S72" s="4"/>
      <c r="T72" s="4"/>
      <c r="U72" s="4"/>
      <c r="V72" s="4"/>
      <c r="W72" s="4"/>
      <c r="X72" s="4"/>
      <c r="Y72" s="4"/>
      <c r="Z72" s="4"/>
      <c r="AA72" s="4"/>
      <c r="AB72" s="4"/>
      <c r="AC72" s="4"/>
      <c r="AD72" s="4"/>
      <c r="AE72" s="4"/>
      <c r="AF72" s="4"/>
      <c r="AG72" s="4"/>
      <c r="AH72" s="4"/>
      <c r="AI72" s="4"/>
      <c r="AJ72" s="4"/>
      <c r="AK72" s="4"/>
      <c r="AL72" s="4"/>
      <c r="AM72" s="4"/>
    </row>
    <row r="73" spans="1:39" x14ac:dyDescent="0.2">
      <c r="A73" s="4"/>
      <c r="R73" s="4"/>
      <c r="S73" s="4"/>
      <c r="T73" s="4"/>
      <c r="U73" s="4"/>
      <c r="V73" s="4"/>
      <c r="W73" s="4"/>
      <c r="X73" s="4"/>
      <c r="Y73" s="4"/>
      <c r="Z73" s="4"/>
      <c r="AA73" s="4"/>
      <c r="AB73" s="4"/>
      <c r="AC73" s="4"/>
      <c r="AD73" s="4"/>
      <c r="AE73" s="4"/>
      <c r="AF73" s="4"/>
      <c r="AG73" s="4"/>
      <c r="AH73" s="4"/>
      <c r="AI73" s="4"/>
      <c r="AJ73" s="4"/>
      <c r="AK73" s="4"/>
      <c r="AL73" s="4"/>
      <c r="AM73" s="4"/>
    </row>
    <row r="74" spans="1:39" x14ac:dyDescent="0.2">
      <c r="A74" s="4"/>
      <c r="R74" s="4"/>
      <c r="S74" s="4"/>
      <c r="T74" s="4"/>
      <c r="U74" s="4"/>
      <c r="V74" s="4"/>
      <c r="W74" s="4"/>
      <c r="X74" s="4"/>
      <c r="Y74" s="4"/>
      <c r="Z74" s="4"/>
      <c r="AA74" s="4"/>
      <c r="AB74" s="4"/>
      <c r="AC74" s="4"/>
      <c r="AD74" s="4"/>
      <c r="AE74" s="4"/>
      <c r="AF74" s="4"/>
      <c r="AG74" s="4"/>
      <c r="AH74" s="4"/>
      <c r="AI74" s="4"/>
      <c r="AJ74" s="4"/>
      <c r="AK74" s="4"/>
      <c r="AL74" s="4"/>
      <c r="AM74" s="4"/>
    </row>
    <row r="75" spans="1:39" x14ac:dyDescent="0.2">
      <c r="A75" s="4"/>
      <c r="R75" s="4"/>
      <c r="S75" s="4"/>
      <c r="T75" s="4"/>
      <c r="U75" s="4"/>
      <c r="V75" s="4"/>
      <c r="W75" s="4"/>
      <c r="X75" s="4"/>
      <c r="Y75" s="4"/>
      <c r="Z75" s="4"/>
      <c r="AA75" s="4"/>
      <c r="AB75" s="4"/>
      <c r="AC75" s="4"/>
      <c r="AD75" s="4"/>
      <c r="AE75" s="4"/>
      <c r="AF75" s="4"/>
      <c r="AG75" s="4"/>
      <c r="AH75" s="4"/>
      <c r="AI75" s="4"/>
      <c r="AJ75" s="4"/>
      <c r="AK75" s="4"/>
      <c r="AL75" s="4"/>
      <c r="AM75" s="4"/>
    </row>
    <row r="76" spans="1:39" x14ac:dyDescent="0.2">
      <c r="A76" s="4"/>
      <c r="R76" s="4"/>
      <c r="S76" s="4"/>
      <c r="T76" s="4"/>
      <c r="U76" s="4"/>
      <c r="V76" s="4"/>
      <c r="W76" s="4"/>
      <c r="X76" s="4"/>
      <c r="Y76" s="4"/>
      <c r="Z76" s="4"/>
      <c r="AA76" s="4"/>
      <c r="AB76" s="4"/>
      <c r="AC76" s="4"/>
      <c r="AD76" s="4"/>
      <c r="AE76" s="4"/>
      <c r="AF76" s="4"/>
      <c r="AG76" s="4"/>
      <c r="AH76" s="4"/>
      <c r="AI76" s="4"/>
      <c r="AJ76" s="4"/>
      <c r="AK76" s="4"/>
      <c r="AL76" s="4"/>
      <c r="AM76" s="4"/>
    </row>
    <row r="77" spans="1:39" x14ac:dyDescent="0.2">
      <c r="A77" s="4"/>
      <c r="R77" s="4"/>
      <c r="S77" s="4"/>
      <c r="T77" s="4"/>
      <c r="U77" s="4"/>
      <c r="V77" s="4"/>
      <c r="W77" s="4"/>
      <c r="X77" s="4"/>
      <c r="Y77" s="4"/>
      <c r="Z77" s="4"/>
      <c r="AA77" s="4"/>
      <c r="AB77" s="4"/>
      <c r="AC77" s="4"/>
      <c r="AD77" s="4"/>
      <c r="AE77" s="4"/>
      <c r="AF77" s="4"/>
      <c r="AG77" s="4"/>
      <c r="AH77" s="4"/>
      <c r="AI77" s="4"/>
      <c r="AJ77" s="4"/>
      <c r="AK77" s="4"/>
      <c r="AL77" s="4"/>
      <c r="AM77" s="4"/>
    </row>
    <row r="78" spans="1:39" x14ac:dyDescent="0.2">
      <c r="A78" s="4"/>
      <c r="R78" s="4"/>
      <c r="S78" s="4"/>
      <c r="T78" s="4"/>
      <c r="U78" s="4"/>
      <c r="V78" s="4"/>
      <c r="W78" s="4"/>
      <c r="X78" s="4"/>
      <c r="Y78" s="4"/>
      <c r="Z78" s="4"/>
      <c r="AA78" s="4"/>
      <c r="AB78" s="4"/>
      <c r="AC78" s="4"/>
      <c r="AD78" s="4"/>
      <c r="AE78" s="4"/>
      <c r="AF78" s="4"/>
      <c r="AG78" s="4"/>
      <c r="AH78" s="4"/>
      <c r="AI78" s="4"/>
      <c r="AJ78" s="4"/>
      <c r="AK78" s="4"/>
      <c r="AL78" s="4"/>
      <c r="AM78" s="4"/>
    </row>
    <row r="79" spans="1:39" x14ac:dyDescent="0.2">
      <c r="A79" s="4"/>
      <c r="R79" s="4"/>
      <c r="S79" s="4"/>
      <c r="T79" s="4"/>
      <c r="U79" s="4"/>
      <c r="V79" s="4"/>
      <c r="W79" s="4"/>
      <c r="X79" s="4"/>
      <c r="Y79" s="4"/>
      <c r="Z79" s="4"/>
      <c r="AA79" s="4"/>
      <c r="AB79" s="4"/>
      <c r="AC79" s="4"/>
      <c r="AD79" s="4"/>
      <c r="AE79" s="4"/>
      <c r="AF79" s="4"/>
      <c r="AG79" s="4"/>
      <c r="AH79" s="4"/>
      <c r="AI79" s="4"/>
      <c r="AJ79" s="4"/>
      <c r="AK79" s="4"/>
      <c r="AL79" s="4"/>
      <c r="AM79" s="4"/>
    </row>
    <row r="80" spans="1:39" x14ac:dyDescent="0.2">
      <c r="A80" s="4"/>
      <c r="R80" s="4"/>
      <c r="S80" s="4"/>
      <c r="T80" s="4"/>
      <c r="U80" s="4"/>
      <c r="V80" s="4"/>
      <c r="W80" s="4"/>
      <c r="X80" s="4"/>
      <c r="Y80" s="4"/>
      <c r="Z80" s="4"/>
      <c r="AA80" s="4"/>
      <c r="AB80" s="4"/>
      <c r="AC80" s="4"/>
      <c r="AD80" s="4"/>
      <c r="AE80" s="4"/>
      <c r="AF80" s="4"/>
      <c r="AG80" s="4"/>
      <c r="AH80" s="4"/>
      <c r="AI80" s="4"/>
      <c r="AJ80" s="4"/>
      <c r="AK80" s="4"/>
      <c r="AL80" s="4"/>
      <c r="AM80" s="4"/>
    </row>
    <row r="81" spans="1:39" x14ac:dyDescent="0.2">
      <c r="A81" s="4"/>
      <c r="R81" s="4"/>
      <c r="S81" s="4"/>
      <c r="T81" s="4"/>
      <c r="U81" s="4"/>
      <c r="V81" s="4"/>
      <c r="W81" s="4"/>
      <c r="X81" s="4"/>
      <c r="Y81" s="4"/>
      <c r="Z81" s="4"/>
      <c r="AA81" s="4"/>
      <c r="AB81" s="4"/>
      <c r="AC81" s="4"/>
      <c r="AD81" s="4"/>
      <c r="AE81" s="4"/>
      <c r="AF81" s="4"/>
      <c r="AG81" s="4"/>
      <c r="AH81" s="4"/>
      <c r="AI81" s="4"/>
      <c r="AJ81" s="4"/>
      <c r="AK81" s="4"/>
      <c r="AL81" s="4"/>
      <c r="AM81" s="4"/>
    </row>
    <row r="82" spans="1:39" x14ac:dyDescent="0.2">
      <c r="A82" s="4"/>
      <c r="R82" s="4"/>
      <c r="S82" s="4"/>
      <c r="T82" s="4"/>
      <c r="U82" s="4"/>
      <c r="V82" s="4"/>
      <c r="W82" s="4"/>
      <c r="X82" s="4"/>
      <c r="Y82" s="4"/>
      <c r="Z82" s="4"/>
      <c r="AA82" s="4"/>
      <c r="AB82" s="4"/>
      <c r="AC82" s="4"/>
      <c r="AD82" s="4"/>
      <c r="AE82" s="4"/>
      <c r="AF82" s="4"/>
      <c r="AG82" s="4"/>
      <c r="AH82" s="4"/>
      <c r="AI82" s="4"/>
      <c r="AJ82" s="4"/>
      <c r="AK82" s="4"/>
      <c r="AL82" s="4"/>
      <c r="AM82" s="4"/>
    </row>
    <row r="83" spans="1:39" x14ac:dyDescent="0.2">
      <c r="A83" s="4"/>
      <c r="R83" s="4"/>
      <c r="S83" s="4"/>
      <c r="T83" s="4"/>
      <c r="U83" s="4"/>
      <c r="V83" s="4"/>
      <c r="W83" s="4"/>
      <c r="X83" s="4"/>
      <c r="Y83" s="4"/>
      <c r="Z83" s="4"/>
      <c r="AA83" s="4"/>
      <c r="AB83" s="4"/>
      <c r="AC83" s="4"/>
      <c r="AD83" s="4"/>
      <c r="AE83" s="4"/>
      <c r="AF83" s="4"/>
      <c r="AG83" s="4"/>
      <c r="AH83" s="4"/>
      <c r="AI83" s="4"/>
      <c r="AJ83" s="4"/>
      <c r="AK83" s="4"/>
      <c r="AL83" s="4"/>
      <c r="AM83" s="4"/>
    </row>
    <row r="84" spans="1:39" x14ac:dyDescent="0.2">
      <c r="A84" s="4"/>
      <c r="R84" s="4"/>
      <c r="S84" s="4"/>
      <c r="T84" s="4"/>
      <c r="U84" s="4"/>
      <c r="V84" s="4"/>
      <c r="W84" s="4"/>
      <c r="X84" s="4"/>
      <c r="Y84" s="4"/>
      <c r="Z84" s="4"/>
      <c r="AA84" s="4"/>
      <c r="AB84" s="4"/>
      <c r="AC84" s="4"/>
      <c r="AD84" s="4"/>
      <c r="AE84" s="4"/>
      <c r="AF84" s="4"/>
      <c r="AG84" s="4"/>
      <c r="AH84" s="4"/>
      <c r="AI84" s="4"/>
      <c r="AJ84" s="4"/>
      <c r="AK84" s="4"/>
      <c r="AL84" s="4"/>
      <c r="AM84" s="4"/>
    </row>
    <row r="85" spans="1:39" x14ac:dyDescent="0.2">
      <c r="A85" s="4"/>
      <c r="R85" s="4"/>
      <c r="S85" s="4"/>
      <c r="T85" s="4"/>
      <c r="U85" s="4"/>
      <c r="V85" s="4"/>
      <c r="W85" s="4"/>
      <c r="X85" s="4"/>
      <c r="Y85" s="4"/>
      <c r="Z85" s="4"/>
      <c r="AA85" s="4"/>
      <c r="AB85" s="4"/>
      <c r="AC85" s="4"/>
      <c r="AD85" s="4"/>
      <c r="AE85" s="4"/>
      <c r="AF85" s="4"/>
      <c r="AG85" s="4"/>
      <c r="AH85" s="4"/>
      <c r="AI85" s="4"/>
      <c r="AJ85" s="4"/>
      <c r="AK85" s="4"/>
      <c r="AL85" s="4"/>
      <c r="AM85" s="4"/>
    </row>
    <row r="86" spans="1:39" x14ac:dyDescent="0.2">
      <c r="A86" s="4"/>
      <c r="R86" s="4"/>
      <c r="S86" s="4"/>
      <c r="T86" s="4"/>
      <c r="U86" s="4"/>
      <c r="V86" s="4"/>
      <c r="W86" s="4"/>
      <c r="X86" s="4"/>
      <c r="Y86" s="4"/>
      <c r="Z86" s="4"/>
      <c r="AA86" s="4"/>
      <c r="AB86" s="4"/>
      <c r="AC86" s="4"/>
      <c r="AD86" s="4"/>
      <c r="AE86" s="4"/>
      <c r="AF86" s="4"/>
      <c r="AG86" s="4"/>
      <c r="AH86" s="4"/>
      <c r="AI86" s="4"/>
      <c r="AJ86" s="4"/>
      <c r="AK86" s="4"/>
      <c r="AL86" s="4"/>
      <c r="AM86" s="4"/>
    </row>
    <row r="87" spans="1:39" x14ac:dyDescent="0.2">
      <c r="A87" s="4"/>
      <c r="R87" s="4"/>
      <c r="S87" s="4"/>
      <c r="T87" s="4"/>
      <c r="U87" s="4"/>
      <c r="V87" s="4"/>
      <c r="W87" s="4"/>
      <c r="X87" s="4"/>
      <c r="Y87" s="4"/>
      <c r="Z87" s="4"/>
      <c r="AA87" s="4"/>
      <c r="AB87" s="4"/>
      <c r="AC87" s="4"/>
      <c r="AD87" s="4"/>
      <c r="AE87" s="4"/>
      <c r="AF87" s="4"/>
      <c r="AG87" s="4"/>
      <c r="AH87" s="4"/>
      <c r="AI87" s="4"/>
      <c r="AJ87" s="4"/>
      <c r="AK87" s="4"/>
      <c r="AL87" s="4"/>
      <c r="AM87" s="4"/>
    </row>
    <row r="88" spans="1:39" x14ac:dyDescent="0.2">
      <c r="A88" s="4"/>
      <c r="R88" s="4"/>
      <c r="S88" s="4"/>
      <c r="T88" s="4"/>
      <c r="U88" s="4"/>
      <c r="V88" s="4"/>
      <c r="W88" s="4"/>
      <c r="X88" s="4"/>
      <c r="Y88" s="4"/>
      <c r="Z88" s="4"/>
      <c r="AA88" s="4"/>
      <c r="AB88" s="4"/>
      <c r="AC88" s="4"/>
      <c r="AD88" s="4"/>
      <c r="AE88" s="4"/>
      <c r="AF88" s="4"/>
      <c r="AG88" s="4"/>
      <c r="AH88" s="4"/>
      <c r="AI88" s="4"/>
      <c r="AJ88" s="4"/>
      <c r="AK88" s="4"/>
      <c r="AL88" s="4"/>
      <c r="AM88" s="4"/>
    </row>
    <row r="89" spans="1:39" x14ac:dyDescent="0.2">
      <c r="A89" s="4"/>
      <c r="R89" s="4"/>
      <c r="S89" s="4"/>
      <c r="T89" s="4"/>
      <c r="U89" s="4"/>
      <c r="V89" s="4"/>
      <c r="W89" s="4"/>
      <c r="X89" s="4"/>
      <c r="Y89" s="4"/>
      <c r="Z89" s="4"/>
      <c r="AA89" s="4"/>
      <c r="AB89" s="4"/>
      <c r="AC89" s="4"/>
      <c r="AD89" s="4"/>
      <c r="AE89" s="4"/>
      <c r="AF89" s="4"/>
      <c r="AG89" s="4"/>
      <c r="AH89" s="4"/>
      <c r="AI89" s="4"/>
      <c r="AJ89" s="4"/>
      <c r="AK89" s="4"/>
      <c r="AL89" s="4"/>
      <c r="AM89" s="4"/>
    </row>
    <row r="90" spans="1:39" x14ac:dyDescent="0.2">
      <c r="A90" s="4"/>
      <c r="R90" s="4"/>
      <c r="S90" s="4"/>
      <c r="T90" s="4"/>
      <c r="U90" s="4"/>
      <c r="V90" s="4"/>
      <c r="W90" s="4"/>
      <c r="X90" s="4"/>
      <c r="Y90" s="4"/>
      <c r="Z90" s="4"/>
      <c r="AA90" s="4"/>
      <c r="AB90" s="4"/>
      <c r="AC90" s="4"/>
      <c r="AD90" s="4"/>
      <c r="AE90" s="4"/>
      <c r="AF90" s="4"/>
      <c r="AG90" s="4"/>
      <c r="AH90" s="4"/>
      <c r="AI90" s="4"/>
      <c r="AJ90" s="4"/>
      <c r="AK90" s="4"/>
      <c r="AL90" s="4"/>
      <c r="AM90" s="4"/>
    </row>
    <row r="91" spans="1:39" x14ac:dyDescent="0.2">
      <c r="A91" s="4"/>
      <c r="R91" s="4"/>
      <c r="S91" s="4"/>
      <c r="T91" s="4"/>
      <c r="U91" s="4"/>
      <c r="V91" s="4"/>
      <c r="W91" s="4"/>
      <c r="X91" s="4"/>
      <c r="Y91" s="4"/>
      <c r="Z91" s="4"/>
      <c r="AA91" s="4"/>
      <c r="AB91" s="4"/>
      <c r="AC91" s="4"/>
      <c r="AD91" s="4"/>
      <c r="AE91" s="4"/>
      <c r="AF91" s="4"/>
      <c r="AG91" s="4"/>
      <c r="AH91" s="4"/>
      <c r="AI91" s="4"/>
      <c r="AJ91" s="4"/>
      <c r="AK91" s="4"/>
      <c r="AL91" s="4"/>
      <c r="AM91" s="4"/>
    </row>
    <row r="92" spans="1:39" x14ac:dyDescent="0.2">
      <c r="A92" s="4"/>
      <c r="R92" s="4"/>
      <c r="S92" s="4"/>
      <c r="T92" s="4"/>
      <c r="U92" s="4"/>
      <c r="V92" s="4"/>
      <c r="W92" s="4"/>
      <c r="X92" s="4"/>
      <c r="Y92" s="4"/>
      <c r="Z92" s="4"/>
      <c r="AA92" s="4"/>
      <c r="AB92" s="4"/>
      <c r="AC92" s="4"/>
      <c r="AD92" s="4"/>
      <c r="AE92" s="4"/>
      <c r="AF92" s="4"/>
      <c r="AG92" s="4"/>
      <c r="AH92" s="4"/>
      <c r="AI92" s="4"/>
      <c r="AJ92" s="4"/>
      <c r="AK92" s="4"/>
      <c r="AL92" s="4"/>
      <c r="AM92" s="4"/>
    </row>
    <row r="93" spans="1:39" x14ac:dyDescent="0.2">
      <c r="A93" s="4"/>
      <c r="R93" s="4"/>
      <c r="S93" s="4"/>
      <c r="T93" s="4"/>
      <c r="U93" s="4"/>
      <c r="V93" s="4"/>
      <c r="W93" s="4"/>
      <c r="X93" s="4"/>
      <c r="Y93" s="4"/>
      <c r="Z93" s="4"/>
      <c r="AA93" s="4"/>
      <c r="AB93" s="4"/>
      <c r="AC93" s="4"/>
      <c r="AD93" s="4"/>
      <c r="AE93" s="4"/>
      <c r="AF93" s="4"/>
      <c r="AG93" s="4"/>
      <c r="AH93" s="4"/>
      <c r="AI93" s="4"/>
      <c r="AJ93" s="4"/>
      <c r="AK93" s="4"/>
      <c r="AL93" s="4"/>
      <c r="AM93" s="4"/>
    </row>
    <row r="94" spans="1:39" x14ac:dyDescent="0.2">
      <c r="A94" s="4"/>
      <c r="R94" s="4"/>
      <c r="S94" s="4"/>
      <c r="T94" s="4"/>
      <c r="U94" s="4"/>
      <c r="V94" s="4"/>
      <c r="W94" s="4"/>
      <c r="X94" s="4"/>
      <c r="Y94" s="4"/>
      <c r="Z94" s="4"/>
      <c r="AA94" s="4"/>
      <c r="AB94" s="4"/>
      <c r="AC94" s="4"/>
      <c r="AD94" s="4"/>
      <c r="AE94" s="4"/>
      <c r="AF94" s="4"/>
      <c r="AG94" s="4"/>
      <c r="AH94" s="4"/>
      <c r="AI94" s="4"/>
      <c r="AJ94" s="4"/>
      <c r="AK94" s="4"/>
      <c r="AL94" s="4"/>
      <c r="AM94" s="4"/>
    </row>
    <row r="95" spans="1:39" x14ac:dyDescent="0.2">
      <c r="A95" s="4"/>
      <c r="R95" s="4"/>
      <c r="S95" s="4"/>
      <c r="T95" s="4"/>
      <c r="U95" s="4"/>
      <c r="V95" s="4"/>
      <c r="W95" s="4"/>
      <c r="X95" s="4"/>
      <c r="Y95" s="4"/>
      <c r="Z95" s="4"/>
      <c r="AA95" s="4"/>
      <c r="AB95" s="4"/>
      <c r="AC95" s="4"/>
      <c r="AD95" s="4"/>
      <c r="AE95" s="4"/>
      <c r="AF95" s="4"/>
      <c r="AG95" s="4"/>
      <c r="AH95" s="4"/>
      <c r="AI95" s="4"/>
      <c r="AJ95" s="4"/>
      <c r="AK95" s="4"/>
      <c r="AL95" s="4"/>
      <c r="AM95" s="4"/>
    </row>
    <row r="96" spans="1:39" x14ac:dyDescent="0.2">
      <c r="A96" s="4"/>
      <c r="R96" s="4"/>
      <c r="S96" s="4"/>
      <c r="T96" s="4"/>
      <c r="U96" s="4"/>
      <c r="V96" s="4"/>
      <c r="W96" s="4"/>
      <c r="X96" s="4"/>
      <c r="Y96" s="4"/>
      <c r="Z96" s="4"/>
      <c r="AA96" s="4"/>
      <c r="AB96" s="4"/>
      <c r="AC96" s="4"/>
      <c r="AD96" s="4"/>
      <c r="AE96" s="4"/>
      <c r="AF96" s="4"/>
      <c r="AG96" s="4"/>
      <c r="AH96" s="4"/>
      <c r="AI96" s="4"/>
      <c r="AJ96" s="4"/>
      <c r="AK96" s="4"/>
      <c r="AL96" s="4"/>
      <c r="AM96" s="4"/>
    </row>
    <row r="97" spans="1:39" x14ac:dyDescent="0.2">
      <c r="A97" s="4"/>
      <c r="R97" s="4"/>
      <c r="S97" s="4"/>
      <c r="T97" s="4"/>
      <c r="U97" s="4"/>
      <c r="V97" s="4"/>
      <c r="W97" s="4"/>
      <c r="X97" s="4"/>
      <c r="Y97" s="4"/>
      <c r="Z97" s="4"/>
      <c r="AA97" s="4"/>
      <c r="AB97" s="4"/>
      <c r="AC97" s="4"/>
      <c r="AD97" s="4"/>
      <c r="AE97" s="4"/>
      <c r="AF97" s="4"/>
      <c r="AG97" s="4"/>
      <c r="AH97" s="4"/>
      <c r="AI97" s="4"/>
      <c r="AJ97" s="4"/>
      <c r="AK97" s="4"/>
      <c r="AL97" s="4"/>
      <c r="AM97" s="4"/>
    </row>
    <row r="98" spans="1:39" x14ac:dyDescent="0.2">
      <c r="A98" s="4"/>
      <c r="R98" s="4"/>
      <c r="S98" s="4"/>
      <c r="T98" s="4"/>
      <c r="U98" s="4"/>
      <c r="V98" s="4"/>
      <c r="W98" s="4"/>
      <c r="X98" s="4"/>
      <c r="Y98" s="4"/>
      <c r="Z98" s="4"/>
      <c r="AA98" s="4"/>
      <c r="AB98" s="4"/>
      <c r="AC98" s="4"/>
      <c r="AD98" s="4"/>
      <c r="AE98" s="4"/>
      <c r="AF98" s="4"/>
      <c r="AG98" s="4"/>
      <c r="AH98" s="4"/>
      <c r="AI98" s="4"/>
      <c r="AJ98" s="4"/>
      <c r="AK98" s="4"/>
      <c r="AL98" s="4"/>
      <c r="AM98" s="4"/>
    </row>
    <row r="99" spans="1:39" x14ac:dyDescent="0.2">
      <c r="A99" s="4"/>
      <c r="R99" s="4"/>
      <c r="S99" s="4"/>
      <c r="T99" s="4"/>
      <c r="U99" s="4"/>
      <c r="V99" s="4"/>
      <c r="W99" s="4"/>
      <c r="X99" s="4"/>
      <c r="Y99" s="4"/>
      <c r="Z99" s="4"/>
      <c r="AA99" s="4"/>
      <c r="AB99" s="4"/>
      <c r="AC99" s="4"/>
      <c r="AD99" s="4"/>
      <c r="AE99" s="4"/>
      <c r="AF99" s="4"/>
      <c r="AG99" s="4"/>
      <c r="AH99" s="4"/>
      <c r="AI99" s="4"/>
      <c r="AJ99" s="4"/>
      <c r="AK99" s="4"/>
      <c r="AL99" s="4"/>
      <c r="AM99" s="4"/>
    </row>
    <row r="100" spans="1:39" x14ac:dyDescent="0.2">
      <c r="A100" s="4"/>
      <c r="R100" s="4"/>
      <c r="S100" s="4"/>
      <c r="T100" s="4"/>
      <c r="U100" s="4"/>
      <c r="V100" s="4"/>
      <c r="W100" s="4"/>
      <c r="X100" s="4"/>
      <c r="Y100" s="4"/>
      <c r="Z100" s="4"/>
      <c r="AA100" s="4"/>
      <c r="AB100" s="4"/>
      <c r="AC100" s="4"/>
      <c r="AD100" s="4"/>
      <c r="AE100" s="4"/>
      <c r="AF100" s="4"/>
      <c r="AG100" s="4"/>
      <c r="AH100" s="4"/>
      <c r="AI100" s="4"/>
      <c r="AJ100" s="4"/>
      <c r="AK100" s="4"/>
      <c r="AL100" s="4"/>
      <c r="AM100" s="4"/>
    </row>
    <row r="101" spans="1:39" x14ac:dyDescent="0.2">
      <c r="A101" s="4"/>
      <c r="R101" s="4"/>
      <c r="S101" s="4"/>
      <c r="T101" s="4"/>
      <c r="U101" s="4"/>
      <c r="V101" s="4"/>
      <c r="W101" s="4"/>
      <c r="X101" s="4"/>
      <c r="Y101" s="4"/>
      <c r="Z101" s="4"/>
      <c r="AA101" s="4"/>
      <c r="AB101" s="4"/>
      <c r="AC101" s="4"/>
      <c r="AD101" s="4"/>
      <c r="AE101" s="4"/>
      <c r="AF101" s="4"/>
      <c r="AG101" s="4"/>
      <c r="AH101" s="4"/>
      <c r="AI101" s="4"/>
      <c r="AJ101" s="4"/>
      <c r="AK101" s="4"/>
      <c r="AL101" s="4"/>
      <c r="AM101" s="4"/>
    </row>
    <row r="102" spans="1:39" x14ac:dyDescent="0.2">
      <c r="A102" s="4"/>
      <c r="R102" s="4"/>
      <c r="S102" s="4"/>
      <c r="T102" s="4"/>
      <c r="U102" s="4"/>
      <c r="V102" s="4"/>
      <c r="W102" s="4"/>
      <c r="X102" s="4"/>
      <c r="Y102" s="4"/>
      <c r="Z102" s="4"/>
      <c r="AA102" s="4"/>
      <c r="AB102" s="4"/>
      <c r="AC102" s="4"/>
      <c r="AD102" s="4"/>
      <c r="AE102" s="4"/>
      <c r="AF102" s="4"/>
      <c r="AG102" s="4"/>
      <c r="AH102" s="4"/>
      <c r="AI102" s="4"/>
      <c r="AJ102" s="4"/>
      <c r="AK102" s="4"/>
      <c r="AL102" s="4"/>
      <c r="AM102" s="4"/>
    </row>
    <row r="103" spans="1:39" x14ac:dyDescent="0.2">
      <c r="A103" s="4"/>
      <c r="R103" s="4"/>
      <c r="S103" s="4"/>
      <c r="T103" s="4"/>
      <c r="U103" s="4"/>
      <c r="V103" s="4"/>
      <c r="W103" s="4"/>
      <c r="X103" s="4"/>
      <c r="Y103" s="4"/>
      <c r="Z103" s="4"/>
      <c r="AA103" s="4"/>
      <c r="AB103" s="4"/>
      <c r="AC103" s="4"/>
      <c r="AD103" s="4"/>
      <c r="AE103" s="4"/>
      <c r="AF103" s="4"/>
      <c r="AG103" s="4"/>
      <c r="AH103" s="4"/>
      <c r="AI103" s="4"/>
      <c r="AJ103" s="4"/>
      <c r="AK103" s="4"/>
      <c r="AL103" s="4"/>
      <c r="AM103" s="4"/>
    </row>
    <row r="104" spans="1:39" x14ac:dyDescent="0.2">
      <c r="A104" s="4"/>
      <c r="R104" s="4"/>
      <c r="S104" s="4"/>
      <c r="T104" s="4"/>
      <c r="U104" s="4"/>
      <c r="V104" s="4"/>
      <c r="W104" s="4"/>
      <c r="X104" s="4"/>
      <c r="Y104" s="4"/>
      <c r="Z104" s="4"/>
      <c r="AA104" s="4"/>
      <c r="AB104" s="4"/>
      <c r="AC104" s="4"/>
      <c r="AD104" s="4"/>
      <c r="AE104" s="4"/>
      <c r="AF104" s="4"/>
      <c r="AG104" s="4"/>
      <c r="AH104" s="4"/>
      <c r="AI104" s="4"/>
      <c r="AJ104" s="4"/>
      <c r="AK104" s="4"/>
      <c r="AL104" s="4"/>
      <c r="AM104" s="4"/>
    </row>
    <row r="105" spans="1:39" x14ac:dyDescent="0.2">
      <c r="A105" s="4"/>
      <c r="R105" s="4"/>
      <c r="S105" s="4"/>
      <c r="T105" s="4"/>
      <c r="U105" s="4"/>
      <c r="V105" s="4"/>
      <c r="W105" s="4"/>
      <c r="X105" s="4"/>
      <c r="Y105" s="4"/>
      <c r="Z105" s="4"/>
      <c r="AA105" s="4"/>
      <c r="AB105" s="4"/>
      <c r="AC105" s="4"/>
      <c r="AD105" s="4"/>
      <c r="AE105" s="4"/>
      <c r="AF105" s="4"/>
      <c r="AG105" s="4"/>
      <c r="AH105" s="4"/>
      <c r="AI105" s="4"/>
      <c r="AJ105" s="4"/>
      <c r="AK105" s="4"/>
      <c r="AL105" s="4"/>
      <c r="AM105" s="4"/>
    </row>
    <row r="106" spans="1:39" x14ac:dyDescent="0.2">
      <c r="A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1:39" x14ac:dyDescent="0.2">
      <c r="A107" s="4"/>
      <c r="R107" s="4"/>
      <c r="S107" s="4"/>
      <c r="T107" s="4"/>
      <c r="U107" s="4"/>
      <c r="V107" s="4"/>
      <c r="W107" s="4"/>
      <c r="X107" s="4"/>
      <c r="Y107" s="4"/>
      <c r="Z107" s="4"/>
      <c r="AA107" s="4"/>
      <c r="AB107" s="4"/>
      <c r="AC107" s="4"/>
      <c r="AD107" s="4"/>
      <c r="AE107" s="4"/>
      <c r="AF107" s="4"/>
      <c r="AG107" s="4"/>
      <c r="AH107" s="4"/>
      <c r="AI107" s="4"/>
      <c r="AJ107" s="4"/>
      <c r="AK107" s="4"/>
      <c r="AL107" s="4"/>
      <c r="AM107" s="4"/>
    </row>
    <row r="108" spans="1:39" x14ac:dyDescent="0.2">
      <c r="A108" s="4"/>
      <c r="R108" s="4"/>
      <c r="S108" s="4"/>
      <c r="T108" s="4"/>
      <c r="U108" s="4"/>
      <c r="V108" s="4"/>
      <c r="W108" s="4"/>
      <c r="X108" s="4"/>
      <c r="Y108" s="4"/>
      <c r="Z108" s="4"/>
      <c r="AA108" s="4"/>
      <c r="AB108" s="4"/>
      <c r="AC108" s="4"/>
      <c r="AD108" s="4"/>
      <c r="AE108" s="4"/>
      <c r="AF108" s="4"/>
      <c r="AG108" s="4"/>
      <c r="AH108" s="4"/>
      <c r="AI108" s="4"/>
      <c r="AJ108" s="4"/>
      <c r="AK108" s="4"/>
      <c r="AL108" s="4"/>
      <c r="AM108" s="4"/>
    </row>
    <row r="109" spans="1:39" x14ac:dyDescent="0.2">
      <c r="A109" s="4"/>
      <c r="R109" s="4"/>
      <c r="S109" s="4"/>
      <c r="T109" s="4"/>
      <c r="U109" s="4"/>
      <c r="V109" s="4"/>
      <c r="W109" s="4"/>
      <c r="X109" s="4"/>
      <c r="Y109" s="4"/>
      <c r="Z109" s="4"/>
      <c r="AA109" s="4"/>
      <c r="AB109" s="4"/>
      <c r="AC109" s="4"/>
      <c r="AD109" s="4"/>
      <c r="AE109" s="4"/>
      <c r="AF109" s="4"/>
      <c r="AG109" s="4"/>
      <c r="AH109" s="4"/>
      <c r="AI109" s="4"/>
      <c r="AJ109" s="4"/>
      <c r="AK109" s="4"/>
      <c r="AL109" s="4"/>
      <c r="AM109" s="4"/>
    </row>
    <row r="110" spans="1:39" x14ac:dyDescent="0.2">
      <c r="A110" s="4"/>
      <c r="R110" s="4"/>
      <c r="S110" s="4"/>
      <c r="T110" s="4"/>
      <c r="U110" s="4"/>
      <c r="V110" s="4"/>
      <c r="W110" s="4"/>
      <c r="X110" s="4"/>
      <c r="Y110" s="4"/>
      <c r="Z110" s="4"/>
      <c r="AA110" s="4"/>
      <c r="AB110" s="4"/>
      <c r="AC110" s="4"/>
      <c r="AD110" s="4"/>
      <c r="AE110" s="4"/>
      <c r="AF110" s="4"/>
      <c r="AG110" s="4"/>
      <c r="AH110" s="4"/>
      <c r="AI110" s="4"/>
      <c r="AJ110" s="4"/>
      <c r="AK110" s="4"/>
      <c r="AL110" s="4"/>
      <c r="AM110" s="4"/>
    </row>
    <row r="111" spans="1:39" x14ac:dyDescent="0.2">
      <c r="A111" s="4"/>
      <c r="R111" s="4"/>
      <c r="S111" s="4"/>
      <c r="T111" s="4"/>
      <c r="U111" s="4"/>
      <c r="V111" s="4"/>
      <c r="W111" s="4"/>
      <c r="X111" s="4"/>
      <c r="Y111" s="4"/>
      <c r="Z111" s="4"/>
      <c r="AA111" s="4"/>
      <c r="AB111" s="4"/>
      <c r="AC111" s="4"/>
      <c r="AD111" s="4"/>
      <c r="AE111" s="4"/>
      <c r="AF111" s="4"/>
      <c r="AG111" s="4"/>
      <c r="AH111" s="4"/>
      <c r="AI111" s="4"/>
      <c r="AJ111" s="4"/>
      <c r="AK111" s="4"/>
      <c r="AL111" s="4"/>
      <c r="AM111" s="4"/>
    </row>
    <row r="112" spans="1:39" x14ac:dyDescent="0.2">
      <c r="A112" s="4"/>
      <c r="R112" s="4"/>
      <c r="S112" s="4"/>
      <c r="T112" s="4"/>
      <c r="U112" s="4"/>
      <c r="V112" s="4"/>
      <c r="W112" s="4"/>
      <c r="X112" s="4"/>
      <c r="Y112" s="4"/>
      <c r="Z112" s="4"/>
      <c r="AA112" s="4"/>
      <c r="AB112" s="4"/>
      <c r="AC112" s="4"/>
      <c r="AD112" s="4"/>
      <c r="AE112" s="4"/>
      <c r="AF112" s="4"/>
      <c r="AG112" s="4"/>
      <c r="AH112" s="4"/>
      <c r="AI112" s="4"/>
      <c r="AJ112" s="4"/>
      <c r="AK112" s="4"/>
      <c r="AL112" s="4"/>
      <c r="AM112" s="4"/>
    </row>
    <row r="113" spans="1:39" x14ac:dyDescent="0.2">
      <c r="A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1:39" x14ac:dyDescent="0.2">
      <c r="A114" s="4"/>
      <c r="R114" s="4"/>
      <c r="S114" s="4"/>
      <c r="T114" s="4"/>
      <c r="U114" s="4"/>
      <c r="V114" s="4"/>
      <c r="W114" s="4"/>
      <c r="X114" s="4"/>
      <c r="Y114" s="4"/>
      <c r="Z114" s="4"/>
      <c r="AA114" s="4"/>
      <c r="AB114" s="4"/>
      <c r="AC114" s="4"/>
      <c r="AD114" s="4"/>
      <c r="AE114" s="4"/>
      <c r="AF114" s="4"/>
      <c r="AG114" s="4"/>
      <c r="AH114" s="4"/>
      <c r="AI114" s="4"/>
      <c r="AJ114" s="4"/>
      <c r="AK114" s="4"/>
      <c r="AL114" s="4"/>
      <c r="AM114" s="4"/>
    </row>
    <row r="115" spans="1:39" x14ac:dyDescent="0.2">
      <c r="A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1:39" x14ac:dyDescent="0.2">
      <c r="A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x14ac:dyDescent="0.2">
      <c r="A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1:39" x14ac:dyDescent="0.2">
      <c r="A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1:39" x14ac:dyDescent="0.2">
      <c r="A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x14ac:dyDescent="0.2">
      <c r="A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x14ac:dyDescent="0.2">
      <c r="A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x14ac:dyDescent="0.2">
      <c r="A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1:39" x14ac:dyDescent="0.2">
      <c r="A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1:39" x14ac:dyDescent="0.2">
      <c r="A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1:39" x14ac:dyDescent="0.2">
      <c r="A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1:39" x14ac:dyDescent="0.2">
      <c r="A126" s="4"/>
      <c r="R126" s="4"/>
      <c r="S126" s="4"/>
      <c r="T126" s="4"/>
      <c r="U126" s="4"/>
      <c r="V126" s="4"/>
      <c r="W126" s="4"/>
      <c r="X126" s="4"/>
      <c r="Y126" s="4"/>
      <c r="Z126" s="4"/>
      <c r="AA126" s="4"/>
      <c r="AB126" s="4"/>
      <c r="AC126" s="4"/>
      <c r="AD126" s="4"/>
      <c r="AE126" s="4"/>
      <c r="AF126" s="4"/>
      <c r="AG126" s="4"/>
      <c r="AH126" s="4"/>
      <c r="AI126" s="4"/>
      <c r="AJ126" s="4"/>
      <c r="AK126" s="4"/>
      <c r="AL126" s="4"/>
      <c r="AM126" s="4"/>
    </row>
    <row r="127" spans="1:39" x14ac:dyDescent="0.2">
      <c r="A127" s="4"/>
      <c r="R127" s="4"/>
      <c r="S127" s="4"/>
      <c r="T127" s="4"/>
      <c r="U127" s="4"/>
      <c r="V127" s="4"/>
      <c r="W127" s="4"/>
      <c r="X127" s="4"/>
      <c r="Y127" s="4"/>
      <c r="Z127" s="4"/>
      <c r="AA127" s="4"/>
      <c r="AB127" s="4"/>
      <c r="AC127" s="4"/>
      <c r="AD127" s="4"/>
      <c r="AE127" s="4"/>
      <c r="AF127" s="4"/>
      <c r="AG127" s="4"/>
      <c r="AH127" s="4"/>
      <c r="AI127" s="4"/>
      <c r="AJ127" s="4"/>
      <c r="AK127" s="4"/>
      <c r="AL127" s="4"/>
      <c r="AM127" s="4"/>
    </row>
    <row r="128" spans="1:39" x14ac:dyDescent="0.2">
      <c r="A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1:39" x14ac:dyDescent="0.2">
      <c r="A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x14ac:dyDescent="0.2">
      <c r="A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x14ac:dyDescent="0.2">
      <c r="A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x14ac:dyDescent="0.2">
      <c r="A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1:39" x14ac:dyDescent="0.2">
      <c r="A133" s="4"/>
      <c r="R133" s="4"/>
      <c r="S133" s="4"/>
      <c r="T133" s="4"/>
      <c r="U133" s="4"/>
      <c r="V133" s="4"/>
      <c r="W133" s="4"/>
      <c r="X133" s="4"/>
      <c r="Y133" s="4"/>
      <c r="Z133" s="4"/>
      <c r="AA133" s="4"/>
      <c r="AB133" s="4"/>
      <c r="AC133" s="4"/>
      <c r="AD133" s="4"/>
      <c r="AE133" s="4"/>
      <c r="AF133" s="4"/>
      <c r="AG133" s="4"/>
      <c r="AH133" s="4"/>
      <c r="AI133" s="4"/>
      <c r="AJ133" s="4"/>
      <c r="AK133" s="4"/>
      <c r="AL133" s="4"/>
      <c r="AM133" s="4"/>
    </row>
    <row r="134" spans="1:39" x14ac:dyDescent="0.2">
      <c r="A134" s="4"/>
      <c r="R134" s="4"/>
      <c r="S134" s="4"/>
      <c r="T134" s="4"/>
      <c r="U134" s="4"/>
      <c r="V134" s="4"/>
      <c r="W134" s="4"/>
      <c r="X134" s="4"/>
      <c r="Y134" s="4"/>
      <c r="Z134" s="4"/>
      <c r="AA134" s="4"/>
      <c r="AB134" s="4"/>
      <c r="AC134" s="4"/>
      <c r="AD134" s="4"/>
      <c r="AE134" s="4"/>
      <c r="AF134" s="4"/>
      <c r="AG134" s="4"/>
      <c r="AH134" s="4"/>
      <c r="AI134" s="4"/>
      <c r="AJ134" s="4"/>
      <c r="AK134" s="4"/>
      <c r="AL134" s="4"/>
      <c r="AM134" s="4"/>
    </row>
    <row r="135" spans="1:39" x14ac:dyDescent="0.2">
      <c r="A135" s="4"/>
      <c r="R135" s="4"/>
      <c r="S135" s="4"/>
      <c r="T135" s="4"/>
      <c r="U135" s="4"/>
      <c r="V135" s="4"/>
      <c r="W135" s="4"/>
      <c r="X135" s="4"/>
      <c r="Y135" s="4"/>
      <c r="Z135" s="4"/>
      <c r="AA135" s="4"/>
      <c r="AB135" s="4"/>
      <c r="AC135" s="4"/>
      <c r="AD135" s="4"/>
      <c r="AE135" s="4"/>
      <c r="AF135" s="4"/>
      <c r="AG135" s="4"/>
      <c r="AH135" s="4"/>
      <c r="AI135" s="4"/>
      <c r="AJ135" s="4"/>
      <c r="AK135" s="4"/>
      <c r="AL135" s="4"/>
      <c r="AM135" s="4"/>
    </row>
    <row r="136" spans="1:39" x14ac:dyDescent="0.2">
      <c r="A136" s="4"/>
      <c r="R136" s="4"/>
      <c r="S136" s="4"/>
      <c r="T136" s="4"/>
      <c r="U136" s="4"/>
      <c r="V136" s="4"/>
      <c r="W136" s="4"/>
      <c r="X136" s="4"/>
      <c r="Y136" s="4"/>
      <c r="Z136" s="4"/>
      <c r="AA136" s="4"/>
      <c r="AB136" s="4"/>
      <c r="AC136" s="4"/>
      <c r="AD136" s="4"/>
      <c r="AE136" s="4"/>
      <c r="AF136" s="4"/>
      <c r="AG136" s="4"/>
      <c r="AH136" s="4"/>
      <c r="AI136" s="4"/>
      <c r="AJ136" s="4"/>
      <c r="AK136" s="4"/>
      <c r="AL136" s="4"/>
      <c r="AM136" s="4"/>
    </row>
    <row r="137" spans="1:39" x14ac:dyDescent="0.2">
      <c r="A137" s="4"/>
      <c r="R137" s="4"/>
      <c r="S137" s="4"/>
      <c r="T137" s="4"/>
      <c r="U137" s="4"/>
      <c r="V137" s="4"/>
      <c r="W137" s="4"/>
      <c r="X137" s="4"/>
      <c r="Y137" s="4"/>
      <c r="Z137" s="4"/>
      <c r="AA137" s="4"/>
      <c r="AB137" s="4"/>
      <c r="AC137" s="4"/>
      <c r="AD137" s="4"/>
      <c r="AE137" s="4"/>
      <c r="AF137" s="4"/>
      <c r="AG137" s="4"/>
      <c r="AH137" s="4"/>
      <c r="AI137" s="4"/>
      <c r="AJ137" s="4"/>
      <c r="AK137" s="4"/>
      <c r="AL137" s="4"/>
      <c r="AM137" s="4"/>
    </row>
    <row r="138" spans="1:39" x14ac:dyDescent="0.2">
      <c r="A138" s="4"/>
      <c r="R138" s="4"/>
      <c r="S138" s="4"/>
      <c r="T138" s="4"/>
      <c r="U138" s="4"/>
      <c r="V138" s="4"/>
      <c r="W138" s="4"/>
      <c r="X138" s="4"/>
      <c r="Y138" s="4"/>
      <c r="Z138" s="4"/>
      <c r="AA138" s="4"/>
      <c r="AB138" s="4"/>
      <c r="AC138" s="4"/>
      <c r="AD138" s="4"/>
      <c r="AE138" s="4"/>
      <c r="AF138" s="4"/>
      <c r="AG138" s="4"/>
      <c r="AH138" s="4"/>
      <c r="AI138" s="4"/>
      <c r="AJ138" s="4"/>
      <c r="AK138" s="4"/>
      <c r="AL138" s="4"/>
      <c r="AM138" s="4"/>
    </row>
    <row r="139" spans="1:39" x14ac:dyDescent="0.2">
      <c r="A139" s="4"/>
      <c r="R139" s="4"/>
      <c r="S139" s="4"/>
      <c r="T139" s="4"/>
      <c r="U139" s="4"/>
      <c r="V139" s="4"/>
      <c r="W139" s="4"/>
      <c r="X139" s="4"/>
      <c r="Y139" s="4"/>
      <c r="Z139" s="4"/>
      <c r="AA139" s="4"/>
      <c r="AB139" s="4"/>
      <c r="AC139" s="4"/>
      <c r="AD139" s="4"/>
      <c r="AE139" s="4"/>
      <c r="AF139" s="4"/>
      <c r="AG139" s="4"/>
      <c r="AH139" s="4"/>
      <c r="AI139" s="4"/>
      <c r="AJ139" s="4"/>
      <c r="AK139" s="4"/>
      <c r="AL139" s="4"/>
      <c r="AM139" s="4"/>
    </row>
    <row r="140" spans="1:39" x14ac:dyDescent="0.2">
      <c r="A140" s="4"/>
      <c r="R140" s="4"/>
      <c r="S140" s="4"/>
      <c r="T140" s="4"/>
      <c r="U140" s="4"/>
      <c r="V140" s="4"/>
      <c r="W140" s="4"/>
      <c r="X140" s="4"/>
      <c r="Y140" s="4"/>
      <c r="Z140" s="4"/>
      <c r="AA140" s="4"/>
      <c r="AB140" s="4"/>
      <c r="AC140" s="4"/>
      <c r="AD140" s="4"/>
      <c r="AE140" s="4"/>
      <c r="AF140" s="4"/>
      <c r="AG140" s="4"/>
      <c r="AH140" s="4"/>
      <c r="AI140" s="4"/>
      <c r="AJ140" s="4"/>
      <c r="AK140" s="4"/>
      <c r="AL140" s="4"/>
      <c r="AM140" s="4"/>
    </row>
    <row r="141" spans="1:39" x14ac:dyDescent="0.2">
      <c r="A141" s="4"/>
      <c r="R141" s="4"/>
      <c r="S141" s="4"/>
      <c r="T141" s="4"/>
      <c r="U141" s="4"/>
      <c r="V141" s="4"/>
      <c r="W141" s="4"/>
      <c r="X141" s="4"/>
      <c r="Y141" s="4"/>
      <c r="Z141" s="4"/>
      <c r="AA141" s="4"/>
      <c r="AB141" s="4"/>
      <c r="AC141" s="4"/>
      <c r="AD141" s="4"/>
      <c r="AE141" s="4"/>
      <c r="AF141" s="4"/>
      <c r="AG141" s="4"/>
      <c r="AH141" s="4"/>
      <c r="AI141" s="4"/>
      <c r="AJ141" s="4"/>
      <c r="AK141" s="4"/>
      <c r="AL141" s="4"/>
      <c r="AM141" s="4"/>
    </row>
    <row r="142" spans="1:39" x14ac:dyDescent="0.2">
      <c r="A142" s="4"/>
      <c r="R142" s="4"/>
      <c r="S142" s="4"/>
      <c r="T142" s="4"/>
      <c r="U142" s="4"/>
      <c r="V142" s="4"/>
      <c r="W142" s="4"/>
      <c r="X142" s="4"/>
      <c r="Y142" s="4"/>
      <c r="Z142" s="4"/>
      <c r="AA142" s="4"/>
      <c r="AB142" s="4"/>
      <c r="AC142" s="4"/>
      <c r="AD142" s="4"/>
      <c r="AE142" s="4"/>
      <c r="AF142" s="4"/>
      <c r="AG142" s="4"/>
      <c r="AH142" s="4"/>
      <c r="AI142" s="4"/>
      <c r="AJ142" s="4"/>
      <c r="AK142" s="4"/>
      <c r="AL142" s="4"/>
      <c r="AM142" s="4"/>
    </row>
    <row r="143" spans="1:39" x14ac:dyDescent="0.2">
      <c r="A143" s="4"/>
      <c r="R143" s="4"/>
      <c r="S143" s="4"/>
      <c r="T143" s="4"/>
      <c r="U143" s="4"/>
      <c r="V143" s="4"/>
      <c r="W143" s="4"/>
      <c r="X143" s="4"/>
      <c r="Y143" s="4"/>
      <c r="Z143" s="4"/>
      <c r="AA143" s="4"/>
      <c r="AB143" s="4"/>
      <c r="AC143" s="4"/>
      <c r="AD143" s="4"/>
      <c r="AE143" s="4"/>
      <c r="AF143" s="4"/>
      <c r="AG143" s="4"/>
      <c r="AH143" s="4"/>
      <c r="AI143" s="4"/>
      <c r="AJ143" s="4"/>
      <c r="AK143" s="4"/>
      <c r="AL143" s="4"/>
      <c r="AM143" s="4"/>
    </row>
    <row r="144" spans="1:39" x14ac:dyDescent="0.2">
      <c r="A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x14ac:dyDescent="0.2">
      <c r="A145" s="4"/>
      <c r="R145" s="4"/>
      <c r="S145" s="4"/>
      <c r="T145" s="4"/>
      <c r="U145" s="4"/>
      <c r="V145" s="4"/>
      <c r="W145" s="4"/>
      <c r="X145" s="4"/>
      <c r="Y145" s="4"/>
      <c r="Z145" s="4"/>
      <c r="AA145" s="4"/>
      <c r="AB145" s="4"/>
      <c r="AC145" s="4"/>
      <c r="AD145" s="4"/>
      <c r="AE145" s="4"/>
      <c r="AF145" s="4"/>
      <c r="AG145" s="4"/>
      <c r="AH145" s="4"/>
      <c r="AI145" s="4"/>
      <c r="AJ145" s="4"/>
      <c r="AK145" s="4"/>
      <c r="AL145" s="4"/>
      <c r="AM145" s="4"/>
    </row>
    <row r="146" spans="1:39" x14ac:dyDescent="0.2">
      <c r="A146" s="4"/>
      <c r="R146" s="4"/>
      <c r="S146" s="4"/>
      <c r="T146" s="4"/>
      <c r="U146" s="4"/>
      <c r="V146" s="4"/>
      <c r="W146" s="4"/>
      <c r="X146" s="4"/>
      <c r="Y146" s="4"/>
      <c r="Z146" s="4"/>
      <c r="AA146" s="4"/>
      <c r="AB146" s="4"/>
      <c r="AC146" s="4"/>
      <c r="AD146" s="4"/>
      <c r="AE146" s="4"/>
      <c r="AF146" s="4"/>
      <c r="AG146" s="4"/>
      <c r="AH146" s="4"/>
      <c r="AI146" s="4"/>
      <c r="AJ146" s="4"/>
      <c r="AK146" s="4"/>
      <c r="AL146" s="4"/>
      <c r="AM146" s="4"/>
    </row>
    <row r="147" spans="1:39" x14ac:dyDescent="0.2">
      <c r="A147" s="4"/>
      <c r="R147" s="4"/>
      <c r="S147" s="4"/>
      <c r="T147" s="4"/>
      <c r="U147" s="4"/>
      <c r="V147" s="4"/>
      <c r="W147" s="4"/>
      <c r="X147" s="4"/>
      <c r="Y147" s="4"/>
      <c r="Z147" s="4"/>
      <c r="AA147" s="4"/>
      <c r="AB147" s="4"/>
      <c r="AC147" s="4"/>
      <c r="AD147" s="4"/>
      <c r="AE147" s="4"/>
      <c r="AF147" s="4"/>
      <c r="AG147" s="4"/>
      <c r="AH147" s="4"/>
      <c r="AI147" s="4"/>
      <c r="AJ147" s="4"/>
      <c r="AK147" s="4"/>
      <c r="AL147" s="4"/>
      <c r="AM147" s="4"/>
    </row>
    <row r="148" spans="1:39" x14ac:dyDescent="0.2">
      <c r="A148" s="4"/>
      <c r="R148" s="4"/>
      <c r="S148" s="4"/>
      <c r="T148" s="4"/>
      <c r="U148" s="4"/>
      <c r="V148" s="4"/>
      <c r="W148" s="4"/>
      <c r="X148" s="4"/>
      <c r="Y148" s="4"/>
      <c r="Z148" s="4"/>
      <c r="AA148" s="4"/>
      <c r="AB148" s="4"/>
      <c r="AC148" s="4"/>
      <c r="AD148" s="4"/>
      <c r="AE148" s="4"/>
      <c r="AF148" s="4"/>
      <c r="AG148" s="4"/>
      <c r="AH148" s="4"/>
      <c r="AI148" s="4"/>
      <c r="AJ148" s="4"/>
      <c r="AK148" s="4"/>
      <c r="AL148" s="4"/>
      <c r="AM148" s="4"/>
    </row>
    <row r="149" spans="1:39" x14ac:dyDescent="0.2">
      <c r="A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1:39" x14ac:dyDescent="0.2">
      <c r="A150" s="4"/>
      <c r="R150" s="4"/>
      <c r="S150" s="4"/>
      <c r="T150" s="4"/>
      <c r="U150" s="4"/>
      <c r="V150" s="4"/>
      <c r="W150" s="4"/>
      <c r="X150" s="4"/>
      <c r="Y150" s="4"/>
      <c r="Z150" s="4"/>
      <c r="AA150" s="4"/>
      <c r="AB150" s="4"/>
      <c r="AC150" s="4"/>
      <c r="AD150" s="4"/>
      <c r="AE150" s="4"/>
      <c r="AF150" s="4"/>
      <c r="AG150" s="4"/>
      <c r="AH150" s="4"/>
      <c r="AI150" s="4"/>
      <c r="AJ150" s="4"/>
      <c r="AK150" s="4"/>
      <c r="AL150" s="4"/>
      <c r="AM150" s="4"/>
    </row>
    <row r="151" spans="1:39" x14ac:dyDescent="0.2">
      <c r="A151" s="4"/>
      <c r="R151" s="4"/>
      <c r="S151" s="4"/>
      <c r="T151" s="4"/>
      <c r="U151" s="4"/>
      <c r="V151" s="4"/>
      <c r="W151" s="4"/>
      <c r="X151" s="4"/>
      <c r="Y151" s="4"/>
      <c r="Z151" s="4"/>
      <c r="AA151" s="4"/>
      <c r="AB151" s="4"/>
      <c r="AC151" s="4"/>
      <c r="AD151" s="4"/>
      <c r="AE151" s="4"/>
      <c r="AF151" s="4"/>
      <c r="AG151" s="4"/>
      <c r="AH151" s="4"/>
      <c r="AI151" s="4"/>
      <c r="AJ151" s="4"/>
      <c r="AK151" s="4"/>
      <c r="AL151" s="4"/>
      <c r="AM151" s="4"/>
    </row>
    <row r="152" spans="1:39" x14ac:dyDescent="0.2">
      <c r="A152" s="4"/>
      <c r="R152" s="4"/>
      <c r="S152" s="4"/>
      <c r="T152" s="4"/>
      <c r="U152" s="4"/>
      <c r="V152" s="4"/>
      <c r="W152" s="4"/>
      <c r="X152" s="4"/>
      <c r="Y152" s="4"/>
      <c r="Z152" s="4"/>
      <c r="AA152" s="4"/>
      <c r="AB152" s="4"/>
      <c r="AC152" s="4"/>
      <c r="AD152" s="4"/>
      <c r="AE152" s="4"/>
      <c r="AF152" s="4"/>
      <c r="AG152" s="4"/>
      <c r="AH152" s="4"/>
      <c r="AI152" s="4"/>
      <c r="AJ152" s="4"/>
      <c r="AK152" s="4"/>
      <c r="AL152" s="4"/>
      <c r="AM152" s="4"/>
    </row>
    <row r="153" spans="1:39" x14ac:dyDescent="0.2">
      <c r="A153" s="4"/>
      <c r="R153" s="4"/>
      <c r="S153" s="4"/>
      <c r="T153" s="4"/>
      <c r="U153" s="4"/>
      <c r="V153" s="4"/>
      <c r="W153" s="4"/>
      <c r="X153" s="4"/>
      <c r="Y153" s="4"/>
      <c r="Z153" s="4"/>
      <c r="AA153" s="4"/>
      <c r="AB153" s="4"/>
      <c r="AC153" s="4"/>
      <c r="AD153" s="4"/>
      <c r="AE153" s="4"/>
      <c r="AF153" s="4"/>
      <c r="AG153" s="4"/>
      <c r="AH153" s="4"/>
      <c r="AI153" s="4"/>
      <c r="AJ153" s="4"/>
      <c r="AK153" s="4"/>
      <c r="AL153" s="4"/>
      <c r="AM153" s="4"/>
    </row>
    <row r="154" spans="1:39" x14ac:dyDescent="0.2">
      <c r="A154" s="4"/>
      <c r="R154" s="4"/>
      <c r="S154" s="4"/>
      <c r="T154" s="4"/>
      <c r="U154" s="4"/>
      <c r="V154" s="4"/>
      <c r="W154" s="4"/>
      <c r="X154" s="4"/>
      <c r="Y154" s="4"/>
      <c r="Z154" s="4"/>
      <c r="AA154" s="4"/>
      <c r="AB154" s="4"/>
      <c r="AC154" s="4"/>
      <c r="AD154" s="4"/>
      <c r="AE154" s="4"/>
      <c r="AF154" s="4"/>
      <c r="AG154" s="4"/>
      <c r="AH154" s="4"/>
      <c r="AI154" s="4"/>
      <c r="AJ154" s="4"/>
      <c r="AK154" s="4"/>
      <c r="AL154" s="4"/>
      <c r="AM154" s="4"/>
    </row>
    <row r="155" spans="1:39" x14ac:dyDescent="0.2">
      <c r="A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1:39" x14ac:dyDescent="0.2">
      <c r="A156" s="4"/>
      <c r="R156" s="4"/>
      <c r="S156" s="4"/>
      <c r="T156" s="4"/>
      <c r="U156" s="4"/>
      <c r="V156" s="4"/>
      <c r="W156" s="4"/>
      <c r="X156" s="4"/>
      <c r="Y156" s="4"/>
      <c r="Z156" s="4"/>
      <c r="AA156" s="4"/>
      <c r="AB156" s="4"/>
      <c r="AC156" s="4"/>
      <c r="AD156" s="4"/>
      <c r="AE156" s="4"/>
      <c r="AF156" s="4"/>
      <c r="AG156" s="4"/>
      <c r="AH156" s="4"/>
      <c r="AI156" s="4"/>
      <c r="AJ156" s="4"/>
      <c r="AK156" s="4"/>
      <c r="AL156" s="4"/>
      <c r="AM156" s="4"/>
    </row>
    <row r="157" spans="1:39" x14ac:dyDescent="0.2">
      <c r="A157" s="4"/>
      <c r="R157" s="4"/>
      <c r="S157" s="4"/>
      <c r="T157" s="4"/>
      <c r="U157" s="4"/>
      <c r="V157" s="4"/>
      <c r="W157" s="4"/>
      <c r="X157" s="4"/>
      <c r="Y157" s="4"/>
      <c r="Z157" s="4"/>
      <c r="AA157" s="4"/>
      <c r="AB157" s="4"/>
      <c r="AC157" s="4"/>
      <c r="AD157" s="4"/>
      <c r="AE157" s="4"/>
      <c r="AF157" s="4"/>
      <c r="AG157" s="4"/>
      <c r="AH157" s="4"/>
      <c r="AI157" s="4"/>
      <c r="AJ157" s="4"/>
      <c r="AK157" s="4"/>
      <c r="AL157" s="4"/>
      <c r="AM157" s="4"/>
    </row>
    <row r="158" spans="1:39" x14ac:dyDescent="0.2">
      <c r="A158" s="4"/>
      <c r="R158" s="4"/>
      <c r="S158" s="4"/>
      <c r="T158" s="4"/>
      <c r="U158" s="4"/>
      <c r="V158" s="4"/>
      <c r="W158" s="4"/>
      <c r="X158" s="4"/>
      <c r="Y158" s="4"/>
      <c r="Z158" s="4"/>
      <c r="AA158" s="4"/>
      <c r="AB158" s="4"/>
      <c r="AC158" s="4"/>
      <c r="AD158" s="4"/>
      <c r="AE158" s="4"/>
      <c r="AF158" s="4"/>
      <c r="AG158" s="4"/>
      <c r="AH158" s="4"/>
      <c r="AI158" s="4"/>
      <c r="AJ158" s="4"/>
      <c r="AK158" s="4"/>
      <c r="AL158" s="4"/>
      <c r="AM158" s="4"/>
    </row>
    <row r="159" spans="1:39" x14ac:dyDescent="0.2">
      <c r="A159" s="4"/>
      <c r="R159" s="4"/>
      <c r="S159" s="4"/>
      <c r="T159" s="4"/>
      <c r="U159" s="4"/>
      <c r="V159" s="4"/>
      <c r="W159" s="4"/>
      <c r="X159" s="4"/>
      <c r="Y159" s="4"/>
      <c r="Z159" s="4"/>
      <c r="AA159" s="4"/>
      <c r="AB159" s="4"/>
      <c r="AC159" s="4"/>
      <c r="AD159" s="4"/>
      <c r="AE159" s="4"/>
      <c r="AF159" s="4"/>
      <c r="AG159" s="4"/>
      <c r="AH159" s="4"/>
      <c r="AI159" s="4"/>
      <c r="AJ159" s="4"/>
      <c r="AK159" s="4"/>
      <c r="AL159" s="4"/>
      <c r="AM159" s="4"/>
    </row>
    <row r="160" spans="1:39" x14ac:dyDescent="0.2">
      <c r="A160" s="4"/>
      <c r="R160" s="4"/>
      <c r="S160" s="4"/>
      <c r="T160" s="4"/>
      <c r="U160" s="4"/>
      <c r="V160" s="4"/>
      <c r="W160" s="4"/>
      <c r="X160" s="4"/>
      <c r="Y160" s="4"/>
      <c r="Z160" s="4"/>
      <c r="AA160" s="4"/>
      <c r="AB160" s="4"/>
      <c r="AC160" s="4"/>
      <c r="AD160" s="4"/>
      <c r="AE160" s="4"/>
      <c r="AF160" s="4"/>
      <c r="AG160" s="4"/>
      <c r="AH160" s="4"/>
      <c r="AI160" s="4"/>
      <c r="AJ160" s="4"/>
      <c r="AK160" s="4"/>
      <c r="AL160" s="4"/>
      <c r="AM160" s="4"/>
    </row>
    <row r="161" spans="1:39" x14ac:dyDescent="0.2">
      <c r="A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x14ac:dyDescent="0.2">
      <c r="A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1:39" x14ac:dyDescent="0.2">
      <c r="A163" s="4"/>
      <c r="R163" s="4"/>
      <c r="S163" s="4"/>
      <c r="T163" s="4"/>
      <c r="U163" s="4"/>
      <c r="V163" s="4"/>
      <c r="W163" s="4"/>
      <c r="X163" s="4"/>
      <c r="Y163" s="4"/>
      <c r="Z163" s="4"/>
      <c r="AA163" s="4"/>
      <c r="AB163" s="4"/>
      <c r="AC163" s="4"/>
      <c r="AD163" s="4"/>
      <c r="AE163" s="4"/>
      <c r="AF163" s="4"/>
      <c r="AG163" s="4"/>
      <c r="AH163" s="4"/>
      <c r="AI163" s="4"/>
      <c r="AJ163" s="4"/>
      <c r="AK163" s="4"/>
      <c r="AL163" s="4"/>
      <c r="AM163" s="4"/>
    </row>
    <row r="164" spans="1:39" x14ac:dyDescent="0.2">
      <c r="A164" s="4"/>
      <c r="R164" s="4"/>
      <c r="S164" s="4"/>
      <c r="T164" s="4"/>
      <c r="U164" s="4"/>
      <c r="V164" s="4"/>
      <c r="W164" s="4"/>
      <c r="X164" s="4"/>
      <c r="Y164" s="4"/>
      <c r="Z164" s="4"/>
      <c r="AA164" s="4"/>
      <c r="AB164" s="4"/>
      <c r="AC164" s="4"/>
      <c r="AD164" s="4"/>
      <c r="AE164" s="4"/>
      <c r="AF164" s="4"/>
      <c r="AG164" s="4"/>
      <c r="AH164" s="4"/>
      <c r="AI164" s="4"/>
      <c r="AJ164" s="4"/>
      <c r="AK164" s="4"/>
      <c r="AL164" s="4"/>
      <c r="AM164" s="4"/>
    </row>
    <row r="165" spans="1:39" x14ac:dyDescent="0.2">
      <c r="A165" s="4"/>
      <c r="R165" s="4"/>
      <c r="S165" s="4"/>
      <c r="T165" s="4"/>
      <c r="U165" s="4"/>
      <c r="V165" s="4"/>
      <c r="W165" s="4"/>
      <c r="X165" s="4"/>
      <c r="Y165" s="4"/>
      <c r="Z165" s="4"/>
      <c r="AA165" s="4"/>
      <c r="AB165" s="4"/>
      <c r="AC165" s="4"/>
      <c r="AD165" s="4"/>
      <c r="AE165" s="4"/>
      <c r="AF165" s="4"/>
      <c r="AG165" s="4"/>
      <c r="AH165" s="4"/>
      <c r="AI165" s="4"/>
      <c r="AJ165" s="4"/>
      <c r="AK165" s="4"/>
      <c r="AL165" s="4"/>
      <c r="AM165" s="4"/>
    </row>
    <row r="166" spans="1:39" x14ac:dyDescent="0.2">
      <c r="A166" s="4"/>
      <c r="R166" s="4"/>
      <c r="S166" s="4"/>
      <c r="T166" s="4"/>
      <c r="U166" s="4"/>
      <c r="V166" s="4"/>
      <c r="W166" s="4"/>
      <c r="X166" s="4"/>
      <c r="Y166" s="4"/>
      <c r="Z166" s="4"/>
      <c r="AA166" s="4"/>
      <c r="AB166" s="4"/>
      <c r="AC166" s="4"/>
      <c r="AD166" s="4"/>
      <c r="AE166" s="4"/>
      <c r="AF166" s="4"/>
      <c r="AG166" s="4"/>
      <c r="AH166" s="4"/>
      <c r="AI166" s="4"/>
      <c r="AJ166" s="4"/>
      <c r="AK166" s="4"/>
      <c r="AL166" s="4"/>
      <c r="AM166" s="4"/>
    </row>
    <row r="167" spans="1:39" x14ac:dyDescent="0.2">
      <c r="A167" s="4"/>
      <c r="R167" s="4"/>
      <c r="S167" s="4"/>
      <c r="T167" s="4"/>
      <c r="U167" s="4"/>
      <c r="V167" s="4"/>
      <c r="W167" s="4"/>
      <c r="X167" s="4"/>
      <c r="Y167" s="4"/>
      <c r="Z167" s="4"/>
      <c r="AA167" s="4"/>
      <c r="AB167" s="4"/>
      <c r="AC167" s="4"/>
      <c r="AD167" s="4"/>
      <c r="AE167" s="4"/>
      <c r="AF167" s="4"/>
      <c r="AG167" s="4"/>
      <c r="AH167" s="4"/>
      <c r="AI167" s="4"/>
      <c r="AJ167" s="4"/>
      <c r="AK167" s="4"/>
      <c r="AL167" s="4"/>
      <c r="AM167" s="4"/>
    </row>
    <row r="168" spans="1:39" x14ac:dyDescent="0.2">
      <c r="A168" s="4"/>
      <c r="R168" s="4"/>
      <c r="S168" s="4"/>
      <c r="T168" s="4"/>
      <c r="U168" s="4"/>
      <c r="V168" s="4"/>
      <c r="W168" s="4"/>
      <c r="X168" s="4"/>
      <c r="Y168" s="4"/>
      <c r="Z168" s="4"/>
      <c r="AA168" s="4"/>
      <c r="AB168" s="4"/>
      <c r="AC168" s="4"/>
      <c r="AD168" s="4"/>
      <c r="AE168" s="4"/>
      <c r="AF168" s="4"/>
      <c r="AG168" s="4"/>
      <c r="AH168" s="4"/>
      <c r="AI168" s="4"/>
      <c r="AJ168" s="4"/>
      <c r="AK168" s="4"/>
      <c r="AL168" s="4"/>
      <c r="AM168" s="4"/>
    </row>
    <row r="169" spans="1:39" x14ac:dyDescent="0.2">
      <c r="A169" s="4"/>
      <c r="R169" s="4"/>
      <c r="S169" s="4"/>
      <c r="T169" s="4"/>
      <c r="U169" s="4"/>
      <c r="V169" s="4"/>
      <c r="W169" s="4"/>
      <c r="X169" s="4"/>
      <c r="Y169" s="4"/>
      <c r="Z169" s="4"/>
      <c r="AA169" s="4"/>
      <c r="AB169" s="4"/>
      <c r="AC169" s="4"/>
      <c r="AD169" s="4"/>
      <c r="AE169" s="4"/>
      <c r="AF169" s="4"/>
      <c r="AG169" s="4"/>
      <c r="AH169" s="4"/>
      <c r="AI169" s="4"/>
      <c r="AJ169" s="4"/>
      <c r="AK169" s="4"/>
      <c r="AL169" s="4"/>
      <c r="AM169" s="4"/>
    </row>
    <row r="170" spans="1:39" x14ac:dyDescent="0.2">
      <c r="A170" s="4"/>
      <c r="R170" s="4"/>
      <c r="S170" s="4"/>
      <c r="T170" s="4"/>
      <c r="U170" s="4"/>
      <c r="V170" s="4"/>
      <c r="W170" s="4"/>
      <c r="X170" s="4"/>
      <c r="Y170" s="4"/>
      <c r="Z170" s="4"/>
      <c r="AA170" s="4"/>
      <c r="AB170" s="4"/>
      <c r="AC170" s="4"/>
      <c r="AD170" s="4"/>
      <c r="AE170" s="4"/>
      <c r="AF170" s="4"/>
      <c r="AG170" s="4"/>
      <c r="AH170" s="4"/>
      <c r="AI170" s="4"/>
      <c r="AJ170" s="4"/>
      <c r="AK170" s="4"/>
      <c r="AL170" s="4"/>
      <c r="AM170" s="4"/>
    </row>
    <row r="171" spans="1:39" x14ac:dyDescent="0.2">
      <c r="A171" s="4"/>
      <c r="R171" s="4"/>
      <c r="S171" s="4"/>
      <c r="T171" s="4"/>
      <c r="U171" s="4"/>
      <c r="V171" s="4"/>
      <c r="W171" s="4"/>
      <c r="X171" s="4"/>
      <c r="Y171" s="4"/>
      <c r="Z171" s="4"/>
      <c r="AA171" s="4"/>
      <c r="AB171" s="4"/>
      <c r="AC171" s="4"/>
      <c r="AD171" s="4"/>
      <c r="AE171" s="4"/>
      <c r="AF171" s="4"/>
      <c r="AG171" s="4"/>
      <c r="AH171" s="4"/>
      <c r="AI171" s="4"/>
      <c r="AJ171" s="4"/>
      <c r="AK171" s="4"/>
      <c r="AL171" s="4"/>
      <c r="AM171" s="4"/>
    </row>
    <row r="172" spans="1:39" x14ac:dyDescent="0.2">
      <c r="A172" s="4"/>
      <c r="R172" s="4"/>
      <c r="S172" s="4"/>
      <c r="T172" s="4"/>
      <c r="U172" s="4"/>
      <c r="V172" s="4"/>
      <c r="W172" s="4"/>
      <c r="X172" s="4"/>
      <c r="Y172" s="4"/>
      <c r="Z172" s="4"/>
      <c r="AA172" s="4"/>
      <c r="AB172" s="4"/>
      <c r="AC172" s="4"/>
      <c r="AD172" s="4"/>
      <c r="AE172" s="4"/>
      <c r="AF172" s="4"/>
      <c r="AG172" s="4"/>
      <c r="AH172" s="4"/>
      <c r="AI172" s="4"/>
      <c r="AJ172" s="4"/>
      <c r="AK172" s="4"/>
      <c r="AL172" s="4"/>
      <c r="AM172" s="4"/>
    </row>
    <row r="173" spans="1:39" x14ac:dyDescent="0.2">
      <c r="A173" s="4"/>
      <c r="R173" s="4"/>
      <c r="S173" s="4"/>
      <c r="T173" s="4"/>
      <c r="U173" s="4"/>
      <c r="V173" s="4"/>
      <c r="W173" s="4"/>
      <c r="X173" s="4"/>
      <c r="Y173" s="4"/>
      <c r="Z173" s="4"/>
      <c r="AA173" s="4"/>
      <c r="AB173" s="4"/>
      <c r="AC173" s="4"/>
      <c r="AD173" s="4"/>
      <c r="AE173" s="4"/>
      <c r="AF173" s="4"/>
      <c r="AG173" s="4"/>
      <c r="AH173" s="4"/>
      <c r="AI173" s="4"/>
      <c r="AJ173" s="4"/>
      <c r="AK173" s="4"/>
      <c r="AL173" s="4"/>
      <c r="AM173" s="4"/>
    </row>
    <row r="174" spans="1:39" x14ac:dyDescent="0.2">
      <c r="A174" s="4"/>
      <c r="R174" s="4"/>
      <c r="S174" s="4"/>
      <c r="T174" s="4"/>
      <c r="U174" s="4"/>
      <c r="V174" s="4"/>
      <c r="W174" s="4"/>
      <c r="X174" s="4"/>
      <c r="Y174" s="4"/>
      <c r="Z174" s="4"/>
      <c r="AA174" s="4"/>
      <c r="AB174" s="4"/>
      <c r="AC174" s="4"/>
      <c r="AD174" s="4"/>
      <c r="AE174" s="4"/>
      <c r="AF174" s="4"/>
      <c r="AG174" s="4"/>
      <c r="AH174" s="4"/>
      <c r="AI174" s="4"/>
      <c r="AJ174" s="4"/>
      <c r="AK174" s="4"/>
      <c r="AL174" s="4"/>
      <c r="AM174" s="4"/>
    </row>
    <row r="175" spans="1:39" x14ac:dyDescent="0.2">
      <c r="A175" s="4"/>
      <c r="R175" s="4"/>
      <c r="S175" s="4"/>
      <c r="T175" s="4"/>
      <c r="U175" s="4"/>
      <c r="V175" s="4"/>
      <c r="W175" s="4"/>
      <c r="X175" s="4"/>
      <c r="Y175" s="4"/>
      <c r="Z175" s="4"/>
      <c r="AA175" s="4"/>
      <c r="AB175" s="4"/>
      <c r="AC175" s="4"/>
      <c r="AD175" s="4"/>
      <c r="AE175" s="4"/>
      <c r="AF175" s="4"/>
      <c r="AG175" s="4"/>
      <c r="AH175" s="4"/>
      <c r="AI175" s="4"/>
      <c r="AJ175" s="4"/>
      <c r="AK175" s="4"/>
      <c r="AL175" s="4"/>
      <c r="AM175" s="4"/>
    </row>
    <row r="176" spans="1:39" x14ac:dyDescent="0.2">
      <c r="A176" s="4"/>
      <c r="R176" s="4"/>
      <c r="S176" s="4"/>
      <c r="T176" s="4"/>
      <c r="U176" s="4"/>
      <c r="V176" s="4"/>
      <c r="W176" s="4"/>
      <c r="X176" s="4"/>
      <c r="Y176" s="4"/>
      <c r="Z176" s="4"/>
      <c r="AA176" s="4"/>
      <c r="AB176" s="4"/>
      <c r="AC176" s="4"/>
      <c r="AD176" s="4"/>
      <c r="AE176" s="4"/>
      <c r="AF176" s="4"/>
      <c r="AG176" s="4"/>
      <c r="AH176" s="4"/>
      <c r="AI176" s="4"/>
      <c r="AJ176" s="4"/>
      <c r="AK176" s="4"/>
      <c r="AL176" s="4"/>
      <c r="AM176" s="4"/>
    </row>
    <row r="177" spans="1:39" x14ac:dyDescent="0.2">
      <c r="A177" s="4"/>
      <c r="R177" s="4"/>
      <c r="S177" s="4"/>
      <c r="T177" s="4"/>
      <c r="U177" s="4"/>
      <c r="V177" s="4"/>
      <c r="W177" s="4"/>
      <c r="X177" s="4"/>
      <c r="Y177" s="4"/>
      <c r="Z177" s="4"/>
      <c r="AA177" s="4"/>
      <c r="AB177" s="4"/>
      <c r="AC177" s="4"/>
      <c r="AD177" s="4"/>
      <c r="AE177" s="4"/>
      <c r="AF177" s="4"/>
      <c r="AG177" s="4"/>
      <c r="AH177" s="4"/>
      <c r="AI177" s="4"/>
      <c r="AJ177" s="4"/>
      <c r="AK177" s="4"/>
      <c r="AL177" s="4"/>
      <c r="AM177" s="4"/>
    </row>
    <row r="178" spans="1:39" x14ac:dyDescent="0.2">
      <c r="A178" s="4"/>
      <c r="R178" s="4"/>
      <c r="S178" s="4"/>
      <c r="T178" s="4"/>
      <c r="U178" s="4"/>
      <c r="V178" s="4"/>
      <c r="W178" s="4"/>
      <c r="X178" s="4"/>
      <c r="Y178" s="4"/>
      <c r="Z178" s="4"/>
      <c r="AA178" s="4"/>
      <c r="AB178" s="4"/>
      <c r="AC178" s="4"/>
      <c r="AD178" s="4"/>
      <c r="AE178" s="4"/>
      <c r="AF178" s="4"/>
      <c r="AG178" s="4"/>
      <c r="AH178" s="4"/>
      <c r="AI178" s="4"/>
      <c r="AJ178" s="4"/>
      <c r="AK178" s="4"/>
      <c r="AL178" s="4"/>
      <c r="AM178" s="4"/>
    </row>
    <row r="179" spans="1:39" x14ac:dyDescent="0.2">
      <c r="A179" s="4"/>
      <c r="R179" s="4"/>
      <c r="S179" s="4"/>
      <c r="T179" s="4"/>
      <c r="U179" s="4"/>
      <c r="V179" s="4"/>
      <c r="W179" s="4"/>
      <c r="X179" s="4"/>
      <c r="Y179" s="4"/>
      <c r="Z179" s="4"/>
      <c r="AA179" s="4"/>
      <c r="AB179" s="4"/>
      <c r="AC179" s="4"/>
      <c r="AD179" s="4"/>
      <c r="AE179" s="4"/>
      <c r="AF179" s="4"/>
      <c r="AG179" s="4"/>
      <c r="AH179" s="4"/>
      <c r="AI179" s="4"/>
      <c r="AJ179" s="4"/>
      <c r="AK179" s="4"/>
      <c r="AL179" s="4"/>
      <c r="AM179" s="4"/>
    </row>
    <row r="180" spans="1:39" x14ac:dyDescent="0.2">
      <c r="A180" s="4"/>
      <c r="R180" s="4"/>
      <c r="S180" s="4"/>
      <c r="T180" s="4"/>
      <c r="U180" s="4"/>
      <c r="V180" s="4"/>
      <c r="W180" s="4"/>
      <c r="X180" s="4"/>
      <c r="Y180" s="4"/>
      <c r="Z180" s="4"/>
      <c r="AA180" s="4"/>
      <c r="AB180" s="4"/>
      <c r="AC180" s="4"/>
      <c r="AD180" s="4"/>
      <c r="AE180" s="4"/>
      <c r="AF180" s="4"/>
      <c r="AG180" s="4"/>
      <c r="AH180" s="4"/>
      <c r="AI180" s="4"/>
      <c r="AJ180" s="4"/>
      <c r="AK180" s="4"/>
      <c r="AL180" s="4"/>
      <c r="AM180" s="4"/>
    </row>
    <row r="181" spans="1:39" x14ac:dyDescent="0.2">
      <c r="A181" s="4"/>
      <c r="R181" s="4"/>
      <c r="S181" s="4"/>
      <c r="T181" s="4"/>
      <c r="U181" s="4"/>
      <c r="V181" s="4"/>
      <c r="W181" s="4"/>
      <c r="X181" s="4"/>
      <c r="Y181" s="4"/>
      <c r="Z181" s="4"/>
      <c r="AA181" s="4"/>
      <c r="AB181" s="4"/>
      <c r="AC181" s="4"/>
      <c r="AD181" s="4"/>
      <c r="AE181" s="4"/>
      <c r="AF181" s="4"/>
      <c r="AG181" s="4"/>
      <c r="AH181" s="4"/>
      <c r="AI181" s="4"/>
      <c r="AJ181" s="4"/>
      <c r="AK181" s="4"/>
      <c r="AL181" s="4"/>
      <c r="AM181" s="4"/>
    </row>
    <row r="182" spans="1:39" x14ac:dyDescent="0.2">
      <c r="A182" s="4"/>
      <c r="R182" s="4"/>
      <c r="S182" s="4"/>
      <c r="T182" s="4"/>
      <c r="U182" s="4"/>
      <c r="V182" s="4"/>
      <c r="W182" s="4"/>
      <c r="X182" s="4"/>
      <c r="Y182" s="4"/>
      <c r="Z182" s="4"/>
      <c r="AA182" s="4"/>
      <c r="AB182" s="4"/>
      <c r="AC182" s="4"/>
      <c r="AD182" s="4"/>
      <c r="AE182" s="4"/>
      <c r="AF182" s="4"/>
      <c r="AG182" s="4"/>
      <c r="AH182" s="4"/>
      <c r="AI182" s="4"/>
      <c r="AJ182" s="4"/>
      <c r="AK182" s="4"/>
      <c r="AL182" s="4"/>
      <c r="AM182" s="4"/>
    </row>
    <row r="183" spans="1:39" x14ac:dyDescent="0.2">
      <c r="A183" s="4"/>
      <c r="R183" s="4"/>
      <c r="S183" s="4"/>
      <c r="T183" s="4"/>
      <c r="U183" s="4"/>
      <c r="V183" s="4"/>
      <c r="W183" s="4"/>
      <c r="X183" s="4"/>
      <c r="Y183" s="4"/>
      <c r="Z183" s="4"/>
      <c r="AA183" s="4"/>
      <c r="AB183" s="4"/>
      <c r="AC183" s="4"/>
      <c r="AD183" s="4"/>
      <c r="AE183" s="4"/>
      <c r="AF183" s="4"/>
      <c r="AG183" s="4"/>
      <c r="AH183" s="4"/>
      <c r="AI183" s="4"/>
      <c r="AJ183" s="4"/>
      <c r="AK183" s="4"/>
      <c r="AL183" s="4"/>
      <c r="AM183" s="4"/>
    </row>
    <row r="184" spans="1:39" x14ac:dyDescent="0.2">
      <c r="A184" s="4"/>
      <c r="R184" s="4"/>
      <c r="S184" s="4"/>
      <c r="T184" s="4"/>
      <c r="U184" s="4"/>
      <c r="V184" s="4"/>
      <c r="W184" s="4"/>
      <c r="X184" s="4"/>
      <c r="Y184" s="4"/>
      <c r="Z184" s="4"/>
      <c r="AA184" s="4"/>
      <c r="AB184" s="4"/>
      <c r="AC184" s="4"/>
      <c r="AD184" s="4"/>
      <c r="AE184" s="4"/>
      <c r="AF184" s="4"/>
      <c r="AG184" s="4"/>
      <c r="AH184" s="4"/>
      <c r="AI184" s="4"/>
      <c r="AJ184" s="4"/>
      <c r="AK184" s="4"/>
      <c r="AL184" s="4"/>
      <c r="AM184" s="4"/>
    </row>
    <row r="185" spans="1:39" x14ac:dyDescent="0.2">
      <c r="A185" s="4"/>
      <c r="R185" s="4"/>
      <c r="S185" s="4"/>
      <c r="T185" s="4"/>
      <c r="U185" s="4"/>
      <c r="V185" s="4"/>
      <c r="W185" s="4"/>
      <c r="X185" s="4"/>
      <c r="Y185" s="4"/>
      <c r="Z185" s="4"/>
      <c r="AA185" s="4"/>
      <c r="AB185" s="4"/>
      <c r="AC185" s="4"/>
      <c r="AD185" s="4"/>
      <c r="AE185" s="4"/>
      <c r="AF185" s="4"/>
      <c r="AG185" s="4"/>
      <c r="AH185" s="4"/>
      <c r="AI185" s="4"/>
      <c r="AJ185" s="4"/>
      <c r="AK185" s="4"/>
      <c r="AL185" s="4"/>
      <c r="AM185" s="4"/>
    </row>
    <row r="186" spans="1:39" x14ac:dyDescent="0.2">
      <c r="A186" s="4"/>
      <c r="R186" s="4"/>
      <c r="S186" s="4"/>
      <c r="T186" s="4"/>
      <c r="U186" s="4"/>
      <c r="V186" s="4"/>
      <c r="W186" s="4"/>
      <c r="X186" s="4"/>
      <c r="Y186" s="4"/>
      <c r="Z186" s="4"/>
      <c r="AA186" s="4"/>
      <c r="AB186" s="4"/>
      <c r="AC186" s="4"/>
      <c r="AD186" s="4"/>
      <c r="AE186" s="4"/>
      <c r="AF186" s="4"/>
      <c r="AG186" s="4"/>
      <c r="AH186" s="4"/>
      <c r="AI186" s="4"/>
      <c r="AJ186" s="4"/>
      <c r="AK186" s="4"/>
      <c r="AL186" s="4"/>
      <c r="AM186" s="4"/>
    </row>
    <row r="187" spans="1:39" x14ac:dyDescent="0.2">
      <c r="A187" s="4"/>
      <c r="R187" s="4"/>
      <c r="S187" s="4"/>
      <c r="T187" s="4"/>
      <c r="U187" s="4"/>
      <c r="V187" s="4"/>
      <c r="W187" s="4"/>
      <c r="X187" s="4"/>
      <c r="Y187" s="4"/>
      <c r="Z187" s="4"/>
      <c r="AA187" s="4"/>
      <c r="AB187" s="4"/>
      <c r="AC187" s="4"/>
      <c r="AD187" s="4"/>
      <c r="AE187" s="4"/>
      <c r="AF187" s="4"/>
      <c r="AG187" s="4"/>
      <c r="AH187" s="4"/>
      <c r="AI187" s="4"/>
      <c r="AJ187" s="4"/>
      <c r="AK187" s="4"/>
      <c r="AL187" s="4"/>
      <c r="AM187" s="4"/>
    </row>
    <row r="188" spans="1:39" x14ac:dyDescent="0.2">
      <c r="A188" s="4"/>
      <c r="R188" s="4"/>
      <c r="S188" s="4"/>
      <c r="T188" s="4"/>
      <c r="U188" s="4"/>
      <c r="V188" s="4"/>
      <c r="W188" s="4"/>
      <c r="X188" s="4"/>
      <c r="Y188" s="4"/>
      <c r="Z188" s="4"/>
      <c r="AA188" s="4"/>
      <c r="AB188" s="4"/>
      <c r="AC188" s="4"/>
      <c r="AD188" s="4"/>
      <c r="AE188" s="4"/>
      <c r="AF188" s="4"/>
      <c r="AG188" s="4"/>
      <c r="AH188" s="4"/>
      <c r="AI188" s="4"/>
      <c r="AJ188" s="4"/>
      <c r="AK188" s="4"/>
      <c r="AL188" s="4"/>
      <c r="AM188" s="4"/>
    </row>
    <row r="189" spans="1:39" x14ac:dyDescent="0.2">
      <c r="A189" s="4"/>
      <c r="R189" s="4"/>
      <c r="S189" s="4"/>
      <c r="T189" s="4"/>
      <c r="U189" s="4"/>
      <c r="V189" s="4"/>
      <c r="W189" s="4"/>
      <c r="X189" s="4"/>
      <c r="Y189" s="4"/>
      <c r="Z189" s="4"/>
      <c r="AA189" s="4"/>
      <c r="AB189" s="4"/>
      <c r="AC189" s="4"/>
      <c r="AD189" s="4"/>
      <c r="AE189" s="4"/>
      <c r="AF189" s="4"/>
      <c r="AG189" s="4"/>
      <c r="AH189" s="4"/>
      <c r="AI189" s="4"/>
      <c r="AJ189" s="4"/>
      <c r="AK189" s="4"/>
      <c r="AL189" s="4"/>
      <c r="AM189" s="4"/>
    </row>
    <row r="190" spans="1:39" x14ac:dyDescent="0.2">
      <c r="A190" s="4"/>
      <c r="R190" s="4"/>
      <c r="S190" s="4"/>
      <c r="T190" s="4"/>
      <c r="U190" s="4"/>
      <c r="V190" s="4"/>
      <c r="W190" s="4"/>
      <c r="X190" s="4"/>
      <c r="Y190" s="4"/>
      <c r="Z190" s="4"/>
      <c r="AA190" s="4"/>
      <c r="AB190" s="4"/>
      <c r="AC190" s="4"/>
      <c r="AD190" s="4"/>
      <c r="AE190" s="4"/>
      <c r="AF190" s="4"/>
      <c r="AG190" s="4"/>
      <c r="AH190" s="4"/>
      <c r="AI190" s="4"/>
      <c r="AJ190" s="4"/>
      <c r="AK190" s="4"/>
      <c r="AL190" s="4"/>
      <c r="AM190" s="4"/>
    </row>
    <row r="191" spans="1:39" x14ac:dyDescent="0.2">
      <c r="A191" s="4"/>
      <c r="R191" s="4"/>
      <c r="S191" s="4"/>
      <c r="T191" s="4"/>
      <c r="U191" s="4"/>
      <c r="V191" s="4"/>
      <c r="W191" s="4"/>
      <c r="X191" s="4"/>
      <c r="Y191" s="4"/>
      <c r="Z191" s="4"/>
      <c r="AA191" s="4"/>
      <c r="AB191" s="4"/>
      <c r="AC191" s="4"/>
      <c r="AD191" s="4"/>
      <c r="AE191" s="4"/>
      <c r="AF191" s="4"/>
      <c r="AG191" s="4"/>
      <c r="AH191" s="4"/>
      <c r="AI191" s="4"/>
      <c r="AJ191" s="4"/>
      <c r="AK191" s="4"/>
      <c r="AL191" s="4"/>
      <c r="AM191" s="4"/>
    </row>
    <row r="192" spans="1:39" x14ac:dyDescent="0.2">
      <c r="A192" s="4"/>
      <c r="R192" s="4"/>
      <c r="S192" s="4"/>
      <c r="T192" s="4"/>
      <c r="U192" s="4"/>
      <c r="V192" s="4"/>
      <c r="W192" s="4"/>
      <c r="X192" s="4"/>
      <c r="Y192" s="4"/>
      <c r="Z192" s="4"/>
      <c r="AA192" s="4"/>
      <c r="AB192" s="4"/>
      <c r="AC192" s="4"/>
      <c r="AD192" s="4"/>
      <c r="AE192" s="4"/>
      <c r="AF192" s="4"/>
      <c r="AG192" s="4"/>
      <c r="AH192" s="4"/>
      <c r="AI192" s="4"/>
      <c r="AJ192" s="4"/>
      <c r="AK192" s="4"/>
      <c r="AL192" s="4"/>
      <c r="AM192" s="4"/>
    </row>
    <row r="193" spans="1:39" x14ac:dyDescent="0.2">
      <c r="A193" s="4"/>
      <c r="R193" s="4"/>
      <c r="S193" s="4"/>
      <c r="T193" s="4"/>
      <c r="U193" s="4"/>
      <c r="V193" s="4"/>
      <c r="W193" s="4"/>
      <c r="X193" s="4"/>
      <c r="Y193" s="4"/>
      <c r="Z193" s="4"/>
      <c r="AA193" s="4"/>
      <c r="AB193" s="4"/>
      <c r="AC193" s="4"/>
      <c r="AD193" s="4"/>
      <c r="AE193" s="4"/>
      <c r="AF193" s="4"/>
      <c r="AG193" s="4"/>
      <c r="AH193" s="4"/>
      <c r="AI193" s="4"/>
      <c r="AJ193" s="4"/>
      <c r="AK193" s="4"/>
      <c r="AL193" s="4"/>
      <c r="AM193" s="4"/>
    </row>
    <row r="194" spans="1:39" x14ac:dyDescent="0.2">
      <c r="A194" s="4"/>
      <c r="R194" s="4"/>
      <c r="S194" s="4"/>
      <c r="T194" s="4"/>
      <c r="U194" s="4"/>
      <c r="V194" s="4"/>
      <c r="W194" s="4"/>
      <c r="X194" s="4"/>
      <c r="Y194" s="4"/>
      <c r="Z194" s="4"/>
      <c r="AA194" s="4"/>
      <c r="AB194" s="4"/>
      <c r="AC194" s="4"/>
      <c r="AD194" s="4"/>
      <c r="AE194" s="4"/>
      <c r="AF194" s="4"/>
      <c r="AG194" s="4"/>
      <c r="AH194" s="4"/>
      <c r="AI194" s="4"/>
      <c r="AJ194" s="4"/>
      <c r="AK194" s="4"/>
      <c r="AL194" s="4"/>
      <c r="AM194" s="4"/>
    </row>
    <row r="195" spans="1:39" x14ac:dyDescent="0.2">
      <c r="A195" s="4"/>
      <c r="R195" s="4"/>
      <c r="S195" s="4"/>
      <c r="T195" s="4"/>
      <c r="U195" s="4"/>
      <c r="V195" s="4"/>
      <c r="W195" s="4"/>
      <c r="X195" s="4"/>
      <c r="Y195" s="4"/>
      <c r="Z195" s="4"/>
      <c r="AA195" s="4"/>
      <c r="AB195" s="4"/>
      <c r="AC195" s="4"/>
      <c r="AD195" s="4"/>
      <c r="AE195" s="4"/>
      <c r="AF195" s="4"/>
      <c r="AG195" s="4"/>
      <c r="AH195" s="4"/>
      <c r="AI195" s="4"/>
      <c r="AJ195" s="4"/>
      <c r="AK195" s="4"/>
      <c r="AL195" s="4"/>
      <c r="AM195" s="4"/>
    </row>
    <row r="196" spans="1:39" x14ac:dyDescent="0.2">
      <c r="A196" s="4"/>
      <c r="R196" s="4"/>
      <c r="S196" s="4"/>
      <c r="T196" s="4"/>
      <c r="U196" s="4"/>
      <c r="V196" s="4"/>
      <c r="W196" s="4"/>
      <c r="X196" s="4"/>
      <c r="Y196" s="4"/>
      <c r="Z196" s="4"/>
      <c r="AA196" s="4"/>
      <c r="AB196" s="4"/>
      <c r="AC196" s="4"/>
      <c r="AD196" s="4"/>
      <c r="AE196" s="4"/>
      <c r="AF196" s="4"/>
      <c r="AG196" s="4"/>
      <c r="AH196" s="4"/>
      <c r="AI196" s="4"/>
      <c r="AJ196" s="4"/>
      <c r="AK196" s="4"/>
      <c r="AL196" s="4"/>
      <c r="AM196" s="4"/>
    </row>
    <row r="197" spans="1:39" x14ac:dyDescent="0.2">
      <c r="A197" s="4"/>
      <c r="R197" s="4"/>
      <c r="S197" s="4"/>
      <c r="T197" s="4"/>
      <c r="U197" s="4"/>
      <c r="V197" s="4"/>
      <c r="W197" s="4"/>
      <c r="X197" s="4"/>
      <c r="Y197" s="4"/>
      <c r="Z197" s="4"/>
      <c r="AA197" s="4"/>
      <c r="AB197" s="4"/>
      <c r="AC197" s="4"/>
      <c r="AD197" s="4"/>
      <c r="AE197" s="4"/>
      <c r="AF197" s="4"/>
      <c r="AG197" s="4"/>
      <c r="AH197" s="4"/>
      <c r="AI197" s="4"/>
      <c r="AJ197" s="4"/>
      <c r="AK197" s="4"/>
      <c r="AL197" s="4"/>
      <c r="AM197" s="4"/>
    </row>
    <row r="198" spans="1:39" x14ac:dyDescent="0.2">
      <c r="A198" s="4"/>
      <c r="R198" s="4"/>
      <c r="S198" s="4"/>
      <c r="T198" s="4"/>
      <c r="U198" s="4"/>
      <c r="V198" s="4"/>
      <c r="W198" s="4"/>
      <c r="X198" s="4"/>
      <c r="Y198" s="4"/>
      <c r="Z198" s="4"/>
      <c r="AA198" s="4"/>
      <c r="AB198" s="4"/>
      <c r="AC198" s="4"/>
      <c r="AD198" s="4"/>
      <c r="AE198" s="4"/>
      <c r="AF198" s="4"/>
      <c r="AG198" s="4"/>
      <c r="AH198" s="4"/>
      <c r="AI198" s="4"/>
      <c r="AJ198" s="4"/>
      <c r="AK198" s="4"/>
      <c r="AL198" s="4"/>
      <c r="AM198" s="4"/>
    </row>
    <row r="199" spans="1:39" x14ac:dyDescent="0.2">
      <c r="A199" s="4"/>
      <c r="R199" s="4"/>
      <c r="S199" s="4"/>
      <c r="T199" s="4"/>
      <c r="U199" s="4"/>
      <c r="V199" s="4"/>
      <c r="W199" s="4"/>
      <c r="X199" s="4"/>
      <c r="Y199" s="4"/>
      <c r="Z199" s="4"/>
      <c r="AA199" s="4"/>
      <c r="AB199" s="4"/>
      <c r="AC199" s="4"/>
      <c r="AD199" s="4"/>
      <c r="AE199" s="4"/>
      <c r="AF199" s="4"/>
      <c r="AG199" s="4"/>
      <c r="AH199" s="4"/>
      <c r="AI199" s="4"/>
      <c r="AJ199" s="4"/>
      <c r="AK199" s="4"/>
      <c r="AL199" s="4"/>
      <c r="AM199" s="4"/>
    </row>
    <row r="200" spans="1:39" x14ac:dyDescent="0.2">
      <c r="A200" s="4"/>
      <c r="R200" s="4"/>
      <c r="S200" s="4"/>
      <c r="T200" s="4"/>
      <c r="U200" s="4"/>
      <c r="V200" s="4"/>
      <c r="W200" s="4"/>
      <c r="X200" s="4"/>
      <c r="Y200" s="4"/>
      <c r="Z200" s="4"/>
      <c r="AA200" s="4"/>
      <c r="AB200" s="4"/>
      <c r="AC200" s="4"/>
      <c r="AD200" s="4"/>
      <c r="AE200" s="4"/>
      <c r="AF200" s="4"/>
      <c r="AG200" s="4"/>
      <c r="AH200" s="4"/>
      <c r="AI200" s="4"/>
      <c r="AJ200" s="4"/>
      <c r="AK200" s="4"/>
      <c r="AL200" s="4"/>
      <c r="AM200" s="4"/>
    </row>
    <row r="201" spans="1:39" x14ac:dyDescent="0.2">
      <c r="A201" s="4"/>
      <c r="R201" s="4"/>
      <c r="S201" s="4"/>
      <c r="T201" s="4"/>
      <c r="U201" s="4"/>
      <c r="V201" s="4"/>
      <c r="W201" s="4"/>
      <c r="X201" s="4"/>
      <c r="Y201" s="4"/>
      <c r="Z201" s="4"/>
      <c r="AA201" s="4"/>
      <c r="AB201" s="4"/>
      <c r="AC201" s="4"/>
      <c r="AD201" s="4"/>
      <c r="AE201" s="4"/>
      <c r="AF201" s="4"/>
      <c r="AG201" s="4"/>
      <c r="AH201" s="4"/>
      <c r="AI201" s="4"/>
      <c r="AJ201" s="4"/>
      <c r="AK201" s="4"/>
      <c r="AL201" s="4"/>
      <c r="AM201" s="4"/>
    </row>
    <row r="202" spans="1:39" x14ac:dyDescent="0.2">
      <c r="A202" s="4"/>
      <c r="R202" s="4"/>
      <c r="S202" s="4"/>
      <c r="T202" s="4"/>
      <c r="U202" s="4"/>
      <c r="V202" s="4"/>
      <c r="W202" s="4"/>
      <c r="X202" s="4"/>
      <c r="Y202" s="4"/>
      <c r="Z202" s="4"/>
      <c r="AA202" s="4"/>
      <c r="AB202" s="4"/>
      <c r="AC202" s="4"/>
      <c r="AD202" s="4"/>
      <c r="AE202" s="4"/>
      <c r="AF202" s="4"/>
      <c r="AG202" s="4"/>
      <c r="AH202" s="4"/>
      <c r="AI202" s="4"/>
      <c r="AJ202" s="4"/>
      <c r="AK202" s="4"/>
      <c r="AL202" s="4"/>
      <c r="AM202" s="4"/>
    </row>
    <row r="203" spans="1:39" x14ac:dyDescent="0.2">
      <c r="A203" s="4"/>
      <c r="R203" s="4"/>
      <c r="S203" s="4"/>
      <c r="T203" s="4"/>
      <c r="U203" s="4"/>
      <c r="V203" s="4"/>
      <c r="W203" s="4"/>
      <c r="X203" s="4"/>
      <c r="Y203" s="4"/>
      <c r="Z203" s="4"/>
      <c r="AA203" s="4"/>
      <c r="AB203" s="4"/>
      <c r="AC203" s="4"/>
      <c r="AD203" s="4"/>
      <c r="AE203" s="4"/>
      <c r="AF203" s="4"/>
      <c r="AG203" s="4"/>
      <c r="AH203" s="4"/>
      <c r="AI203" s="4"/>
      <c r="AJ203" s="4"/>
      <c r="AK203" s="4"/>
      <c r="AL203" s="4"/>
      <c r="AM203" s="4"/>
    </row>
    <row r="204" spans="1:39" x14ac:dyDescent="0.2">
      <c r="A204" s="4"/>
      <c r="R204" s="4"/>
      <c r="S204" s="4"/>
      <c r="T204" s="4"/>
      <c r="U204" s="4"/>
      <c r="V204" s="4"/>
      <c r="W204" s="4"/>
      <c r="X204" s="4"/>
      <c r="Y204" s="4"/>
      <c r="Z204" s="4"/>
      <c r="AA204" s="4"/>
      <c r="AB204" s="4"/>
      <c r="AC204" s="4"/>
      <c r="AD204" s="4"/>
      <c r="AE204" s="4"/>
      <c r="AF204" s="4"/>
      <c r="AG204" s="4"/>
      <c r="AH204" s="4"/>
      <c r="AI204" s="4"/>
      <c r="AJ204" s="4"/>
      <c r="AK204" s="4"/>
      <c r="AL204" s="4"/>
      <c r="AM204" s="4"/>
    </row>
  </sheetData>
  <sheetProtection algorithmName="SHA-512" hashValue="SBb50WQ1Jdv56Brasja9J9MaxuauzcdrGUe+rkd9O/+CYr2aBI1Cgp74BfhkD/XUwd7D7xGPLL9ToGrpp9QylA==" saltValue="SLS+H2cUUSR9K+KvcdMzqg==" spinCount="100000" sheet="1" selectLockedCells="1"/>
  <mergeCells count="2">
    <mergeCell ref="G3:I3"/>
    <mergeCell ref="B1:N1"/>
  </mergeCells>
  <conditionalFormatting sqref="G5:I34">
    <cfRule type="expression" dxfId="195" priority="8">
      <formula>$E5=""</formula>
    </cfRule>
  </conditionalFormatting>
  <dataValidations count="1">
    <dataValidation type="list" allowBlank="1" showInputMessage="1" showErrorMessage="1" sqref="E5:E34" xr:uid="{5B50157E-9B79-4E32-996C-BF9CD323E81E}">
      <formula1>List_ComKitch_Measure</formula1>
    </dataValidation>
  </dataValidations>
  <pageMargins left="0.7" right="0.7" top="0.75" bottom="0.75" header="0.3" footer="0.3"/>
  <pageSetup scale="75" fitToWidth="0" fitToHeight="0" orientation="landscape" verticalDpi="4294967293" r:id="rId1"/>
  <drawing r:id="rId2"/>
  <legacyDrawing r:id="rId3"/>
  <tableParts count="1">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D04B9-C36D-4929-9F40-E83688F76ACE}">
  <sheetPr>
    <tabColor theme="4"/>
  </sheetPr>
  <dimension ref="A1:AN204"/>
  <sheetViews>
    <sheetView showGridLines="0" showRowColHeaders="0" workbookViewId="0">
      <selection activeCell="D5" sqref="D5"/>
    </sheetView>
  </sheetViews>
  <sheetFormatPr defaultColWidth="9.140625" defaultRowHeight="12.75" x14ac:dyDescent="0.2"/>
  <cols>
    <col min="1" max="1" width="2.140625" customWidth="1"/>
    <col min="2" max="2" width="5.28515625" customWidth="1"/>
    <col min="3" max="3" width="8.140625" customWidth="1"/>
    <col min="4" max="4" width="17.140625" customWidth="1"/>
    <col min="5" max="6" width="29.85546875" customWidth="1"/>
    <col min="7" max="7" width="21.5703125" customWidth="1"/>
    <col min="8" max="8" width="11.5703125" customWidth="1"/>
    <col min="9" max="9" width="12.42578125" customWidth="1"/>
    <col min="10" max="10" width="9.85546875" customWidth="1"/>
    <col min="11" max="11" width="10" customWidth="1"/>
    <col min="12" max="12" width="11" customWidth="1"/>
    <col min="13" max="13" width="12" customWidth="1"/>
    <col min="14" max="14" width="11.85546875" customWidth="1"/>
    <col min="15" max="16" width="10.28515625" customWidth="1"/>
    <col min="17" max="17" width="13.42578125" customWidth="1"/>
    <col min="18" max="18" width="9.5703125" customWidth="1"/>
    <col min="19" max="19" width="25.85546875" style="112" hidden="1" customWidth="1"/>
  </cols>
  <sheetData>
    <row r="1" spans="1:40" ht="37.5" customHeight="1" x14ac:dyDescent="0.2">
      <c r="B1" s="253" t="s">
        <v>111</v>
      </c>
      <c r="C1" s="253"/>
      <c r="D1" s="253"/>
      <c r="E1" s="253"/>
      <c r="F1" s="253"/>
      <c r="G1" s="253"/>
      <c r="H1" s="253"/>
      <c r="I1" s="253"/>
      <c r="J1" s="253"/>
      <c r="K1" s="253"/>
      <c r="L1" s="253"/>
      <c r="M1" s="253"/>
      <c r="N1" s="253"/>
      <c r="O1" s="253"/>
      <c r="P1" s="151"/>
      <c r="Q1" s="151"/>
      <c r="R1" s="151"/>
    </row>
    <row r="2" spans="1:40" x14ac:dyDescent="0.2">
      <c r="L2" s="4"/>
    </row>
    <row r="3" spans="1:40" x14ac:dyDescent="0.2">
      <c r="A3" s="4"/>
      <c r="G3" s="281" t="s">
        <v>75</v>
      </c>
      <c r="H3" s="281"/>
      <c r="I3" s="281"/>
      <c r="J3" s="281"/>
      <c r="K3" s="84" t="s">
        <v>76</v>
      </c>
      <c r="L3" s="145">
        <f>SUM(Table_Controls_Input23[Estimated Incentive])</f>
        <v>0</v>
      </c>
      <c r="M3" s="154">
        <f>SUM(Table_Controls_Input23[Energy Savings (kWh)])</f>
        <v>0</v>
      </c>
      <c r="N3" s="153">
        <f>SUM(Table_Controls_Input23[Demand Reduction (kW)])</f>
        <v>0</v>
      </c>
      <c r="O3" s="145">
        <f>SUM(Table_Controls_Input23[Cost Savings])</f>
        <v>0</v>
      </c>
      <c r="P3" s="145">
        <f>SUM(Table_Controls_Input23[Gross Measure Cost])</f>
        <v>0</v>
      </c>
      <c r="Q3" s="145">
        <f>SUM(Table_Controls_Input23[Net Measure Cost])</f>
        <v>0</v>
      </c>
      <c r="R3" s="83" t="str">
        <f>IFERROR(Q3/O3,"")</f>
        <v/>
      </c>
      <c r="S3" s="113"/>
      <c r="T3" s="4"/>
      <c r="U3" s="4"/>
      <c r="V3" s="4"/>
      <c r="W3" s="4"/>
      <c r="X3" s="4"/>
      <c r="Y3" s="4"/>
      <c r="Z3" s="4"/>
      <c r="AA3" s="4"/>
      <c r="AB3" s="4"/>
      <c r="AC3" s="4"/>
      <c r="AD3" s="4"/>
      <c r="AE3" s="4"/>
      <c r="AF3" s="4"/>
      <c r="AG3" s="4"/>
      <c r="AH3" s="4"/>
      <c r="AI3" s="4"/>
      <c r="AJ3" s="4"/>
      <c r="AK3" s="4"/>
      <c r="AL3" s="4"/>
      <c r="AM3" s="4"/>
      <c r="AN3" s="4"/>
    </row>
    <row r="4" spans="1:40" ht="38.25" x14ac:dyDescent="0.2">
      <c r="A4" s="16"/>
      <c r="B4" s="62" t="s">
        <v>77</v>
      </c>
      <c r="C4" s="63" t="s">
        <v>78</v>
      </c>
      <c r="D4" s="66" t="s">
        <v>79</v>
      </c>
      <c r="E4" s="63" t="s">
        <v>112</v>
      </c>
      <c r="F4" s="64" t="s">
        <v>81</v>
      </c>
      <c r="G4" s="65" t="s">
        <v>113</v>
      </c>
      <c r="H4" s="65" t="s">
        <v>114</v>
      </c>
      <c r="I4" s="65" t="s">
        <v>86</v>
      </c>
      <c r="J4" s="65" t="s">
        <v>87</v>
      </c>
      <c r="K4" s="64" t="s">
        <v>88</v>
      </c>
      <c r="L4" s="64" t="s">
        <v>89</v>
      </c>
      <c r="M4" s="64" t="s">
        <v>90</v>
      </c>
      <c r="N4" s="64" t="s">
        <v>91</v>
      </c>
      <c r="O4" s="64" t="s">
        <v>92</v>
      </c>
      <c r="P4" s="64" t="s">
        <v>93</v>
      </c>
      <c r="Q4" s="64" t="s">
        <v>94</v>
      </c>
      <c r="R4" s="64" t="s">
        <v>95</v>
      </c>
      <c r="S4" s="114" t="s">
        <v>115</v>
      </c>
      <c r="T4" s="16"/>
      <c r="U4" s="16"/>
      <c r="V4" s="16"/>
      <c r="W4" s="16"/>
      <c r="X4" s="16"/>
      <c r="Y4" s="16"/>
      <c r="Z4" s="16"/>
      <c r="AA4" s="16"/>
      <c r="AB4" s="16"/>
      <c r="AC4" s="16"/>
      <c r="AD4" s="16"/>
      <c r="AE4" s="16"/>
      <c r="AF4" s="16"/>
      <c r="AG4" s="16"/>
      <c r="AH4" s="16"/>
      <c r="AI4" s="16"/>
      <c r="AJ4" s="16"/>
      <c r="AK4" s="16"/>
      <c r="AL4" s="16"/>
      <c r="AM4" s="16"/>
      <c r="AN4" s="16"/>
    </row>
    <row r="5" spans="1:40" x14ac:dyDescent="0.2">
      <c r="A5" s="3"/>
      <c r="B5" s="71">
        <v>1</v>
      </c>
      <c r="C5" s="69" t="str">
        <f>IFERROR(INDEX(Table_WinFilm_Savings[Measure No], MATCH(Table_Controls_Input23[[#This Row],[Measure Lookup Detail]], Table_WinFilm_Savings[Lookup Detail], 0)), "")</f>
        <v/>
      </c>
      <c r="D5" s="61"/>
      <c r="E5" s="60"/>
      <c r="F5" s="69" t="str">
        <f>IFERROR(INDEX(Table_Prescript_Meas[Units], MATCH(Table_Controls_Input23[[#This Row],[Measure Number]], Table_Prescript_Meas[Measure Number], 0)), "")</f>
        <v/>
      </c>
      <c r="G5" s="49"/>
      <c r="H5" s="60"/>
      <c r="I5" s="73"/>
      <c r="J5" s="73"/>
      <c r="K5"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5" s="74" t="str">
        <f>IFERROR(Table_Controls_Input23[[#This Row],[Number of Units (Sq.Ft.)]]*Table_Controls_Input23[[#This Row],[Per-Unit Incentive]], "")</f>
        <v/>
      </c>
      <c r="M5" s="75" t="str">
        <f>IFERROR(Table_Controls_Input23[[#This Row],[Number of Units (Sq.Ft.)]]*INDEX(Table_WinFilm_Savings[Deemed kWh Savings], MATCH(Table_Controls_Input23[[#This Row],[Measure Lookup Detail]], Table_WinFilm_Savings[Lookup Detail], 0)),"" )</f>
        <v/>
      </c>
      <c r="N5" s="81" t="str">
        <f>IFERROR(Table_Controls_Input23[[#This Row],[Number of Units (Sq.Ft.)]]*INDEX(Table_WinFilm_Savings[Deemed kW Savings], MATCH(Table_Controls_Input23[[#This Row],[Measure Lookup Detail]], Table_WinFilm_Savings[Lookup Detail], 0)),"" )</f>
        <v/>
      </c>
      <c r="O5" s="74" t="str">
        <f t="shared" ref="O5:O34" si="0">IFERROR(M5*Input_AvgkWhRate, "")</f>
        <v/>
      </c>
      <c r="P5" s="74" t="str">
        <f>IF(Table_Controls_Input23[[#This Row],[Measure Number]]="", "", Table_Controls_Input23[[#This Row],[Total Equipment Cost]]+Table_Controls_Input23[[#This Row],[Total Labor Cost]])</f>
        <v/>
      </c>
      <c r="Q5" s="74" t="str">
        <f>IFERROR(Table_Controls_Input23[[#This Row],[Gross Measure Cost]]-Table_Controls_Input23[[#This Row],[Estimated Incentive]], "")</f>
        <v/>
      </c>
      <c r="R5" s="75" t="str">
        <f t="shared" ref="R5:R34" si="1">IFERROR($Q5/$O5,"")</f>
        <v/>
      </c>
      <c r="S5" s="115" t="str">
        <f>_xlfn.CONCAT(Table_Controls_Input23[[#This Row],[Window Film Measure]], Table_Controls_Input23[[#This Row],[Window Direction]])</f>
        <v/>
      </c>
      <c r="T5" s="3"/>
      <c r="U5" s="3"/>
      <c r="V5" s="3"/>
      <c r="W5" s="3"/>
      <c r="X5" s="3"/>
      <c r="Y5" s="3"/>
      <c r="Z5" s="3"/>
      <c r="AA5" s="3"/>
      <c r="AB5" s="3"/>
      <c r="AC5" s="3"/>
      <c r="AD5" s="3"/>
      <c r="AE5" s="3"/>
      <c r="AF5" s="3"/>
      <c r="AG5" s="3"/>
      <c r="AH5" s="3"/>
      <c r="AI5" s="3"/>
      <c r="AJ5" s="3"/>
      <c r="AK5" s="3"/>
      <c r="AL5" s="3"/>
      <c r="AM5" s="3"/>
      <c r="AN5" s="3"/>
    </row>
    <row r="6" spans="1:40" x14ac:dyDescent="0.2">
      <c r="A6" s="3"/>
      <c r="B6" s="71">
        <v>2</v>
      </c>
      <c r="C6" s="69" t="str">
        <f>IFERROR(INDEX(Table_WinFilm_Savings[Measure No], MATCH(Table_Controls_Input23[[#This Row],[Measure Lookup Detail]], Table_WinFilm_Savings[Lookup Detail], 0)), "")</f>
        <v/>
      </c>
      <c r="D6" s="61"/>
      <c r="E6" s="60"/>
      <c r="F6" s="69" t="str">
        <f>IFERROR(INDEX(Table_Prescript_Meas[Units], MATCH(Table_Controls_Input23[[#This Row],[Measure Number]], Table_Prescript_Meas[Measure Number], 0)), "")</f>
        <v/>
      </c>
      <c r="G6" s="49"/>
      <c r="H6" s="60"/>
      <c r="I6" s="73"/>
      <c r="J6" s="73"/>
      <c r="K6"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6" s="74" t="str">
        <f>IFERROR(Table_Controls_Input23[[#This Row],[Number of Units (Sq.Ft.)]]*Table_Controls_Input23[[#This Row],[Per-Unit Incentive]], "")</f>
        <v/>
      </c>
      <c r="M6" s="75" t="str">
        <f>IFERROR(Table_Controls_Input23[[#This Row],[Number of Units (Sq.Ft.)]]*INDEX(Table_WinFilm_Savings[Deemed kWh Savings], MATCH(Table_Controls_Input23[[#This Row],[Measure Lookup Detail]], Table_WinFilm_Savings[Lookup Detail], 0)),"" )</f>
        <v/>
      </c>
      <c r="N6" s="81" t="str">
        <f>IFERROR(Table_Controls_Input23[[#This Row],[Number of Units (Sq.Ft.)]]*INDEX(Table_WinFilm_Savings[Deemed kW Savings], MATCH(Table_Controls_Input23[[#This Row],[Measure Lookup Detail]], Table_WinFilm_Savings[Lookup Detail], 0)),"" )</f>
        <v/>
      </c>
      <c r="O6" s="74" t="str">
        <f t="shared" si="0"/>
        <v/>
      </c>
      <c r="P6" s="74" t="str">
        <f>IF(Table_Controls_Input23[[#This Row],[Measure Number]]="", "", Table_Controls_Input23[[#This Row],[Total Equipment Cost]]+Table_Controls_Input23[[#This Row],[Total Labor Cost]])</f>
        <v/>
      </c>
      <c r="Q6" s="74" t="str">
        <f>IFERROR(Table_Controls_Input23[[#This Row],[Gross Measure Cost]]-Table_Controls_Input23[[#This Row],[Estimated Incentive]], "")</f>
        <v/>
      </c>
      <c r="R6" s="75" t="str">
        <f t="shared" si="1"/>
        <v/>
      </c>
      <c r="S6" s="115" t="str">
        <f>_xlfn.CONCAT(Table_Controls_Input23[[#This Row],[Window Film Measure]], Table_Controls_Input23[[#This Row],[Window Direction]])</f>
        <v/>
      </c>
      <c r="T6" s="3"/>
      <c r="U6" s="3"/>
      <c r="V6" s="3"/>
      <c r="W6" s="3"/>
      <c r="X6" s="3"/>
      <c r="Y6" s="3"/>
      <c r="Z6" s="3"/>
      <c r="AA6" s="3"/>
      <c r="AB6" s="3"/>
      <c r="AC6" s="3"/>
      <c r="AD6" s="3"/>
      <c r="AE6" s="3"/>
      <c r="AF6" s="3"/>
      <c r="AG6" s="3"/>
      <c r="AH6" s="3"/>
      <c r="AI6" s="3"/>
      <c r="AJ6" s="3"/>
      <c r="AK6" s="3"/>
      <c r="AL6" s="3"/>
      <c r="AM6" s="3"/>
      <c r="AN6" s="3"/>
    </row>
    <row r="7" spans="1:40" x14ac:dyDescent="0.2">
      <c r="A7" s="3"/>
      <c r="B7" s="71">
        <v>3</v>
      </c>
      <c r="C7" s="69" t="str">
        <f>IFERROR(INDEX(Table_WinFilm_Savings[Measure No], MATCH(Table_Controls_Input23[[#This Row],[Measure Lookup Detail]], Table_WinFilm_Savings[Lookup Detail], 0)), "")</f>
        <v/>
      </c>
      <c r="D7" s="61"/>
      <c r="E7" s="60"/>
      <c r="F7" s="69" t="str">
        <f>IFERROR(INDEX(Table_Prescript_Meas[Units], MATCH(Table_Controls_Input23[[#This Row],[Measure Number]], Table_Prescript_Meas[Measure Number], 0)), "")</f>
        <v/>
      </c>
      <c r="G7" s="49"/>
      <c r="H7" s="60"/>
      <c r="I7" s="73"/>
      <c r="J7" s="73"/>
      <c r="K7"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7" s="74" t="str">
        <f>IFERROR(Table_Controls_Input23[[#This Row],[Number of Units (Sq.Ft.)]]*Table_Controls_Input23[[#This Row],[Per-Unit Incentive]], "")</f>
        <v/>
      </c>
      <c r="M7" s="75" t="str">
        <f>IFERROR(Table_Controls_Input23[[#This Row],[Number of Units (Sq.Ft.)]]*INDEX(Table_WinFilm_Savings[Deemed kWh Savings], MATCH(Table_Controls_Input23[[#This Row],[Measure Lookup Detail]], Table_WinFilm_Savings[Lookup Detail], 0)),"" )</f>
        <v/>
      </c>
      <c r="N7" s="81" t="str">
        <f>IFERROR(Table_Controls_Input23[[#This Row],[Number of Units (Sq.Ft.)]]*INDEX(Table_WinFilm_Savings[Deemed kW Savings], MATCH(Table_Controls_Input23[[#This Row],[Measure Lookup Detail]], Table_WinFilm_Savings[Lookup Detail], 0)),"" )</f>
        <v/>
      </c>
      <c r="O7" s="74" t="str">
        <f t="shared" si="0"/>
        <v/>
      </c>
      <c r="P7" s="74" t="str">
        <f>IF(Table_Controls_Input23[[#This Row],[Measure Number]]="", "", Table_Controls_Input23[[#This Row],[Total Equipment Cost]]+Table_Controls_Input23[[#This Row],[Total Labor Cost]])</f>
        <v/>
      </c>
      <c r="Q7" s="74" t="str">
        <f>IFERROR(Table_Controls_Input23[[#This Row],[Gross Measure Cost]]-Table_Controls_Input23[[#This Row],[Estimated Incentive]], "")</f>
        <v/>
      </c>
      <c r="R7" s="75" t="str">
        <f t="shared" si="1"/>
        <v/>
      </c>
      <c r="S7" s="115" t="str">
        <f>_xlfn.CONCAT(Table_Controls_Input23[[#This Row],[Window Film Measure]], Table_Controls_Input23[[#This Row],[Window Direction]])</f>
        <v/>
      </c>
      <c r="T7" s="3"/>
      <c r="U7" s="3"/>
      <c r="V7" s="3"/>
      <c r="W7" s="3"/>
      <c r="X7" s="3"/>
      <c r="Y7" s="3"/>
      <c r="Z7" s="3"/>
      <c r="AA7" s="3"/>
      <c r="AB7" s="3"/>
      <c r="AC7" s="3"/>
      <c r="AD7" s="3"/>
      <c r="AE7" s="3"/>
      <c r="AF7" s="3"/>
      <c r="AG7" s="3"/>
      <c r="AH7" s="3"/>
      <c r="AI7" s="3"/>
      <c r="AJ7" s="3"/>
      <c r="AK7" s="3"/>
      <c r="AL7" s="3"/>
      <c r="AM7" s="3"/>
      <c r="AN7" s="3"/>
    </row>
    <row r="8" spans="1:40" x14ac:dyDescent="0.2">
      <c r="A8" s="3"/>
      <c r="B8" s="71">
        <v>4</v>
      </c>
      <c r="C8" s="69" t="str">
        <f>IFERROR(INDEX(Table_WinFilm_Savings[Measure No], MATCH(Table_Controls_Input23[[#This Row],[Measure Lookup Detail]], Table_WinFilm_Savings[Lookup Detail], 0)), "")</f>
        <v/>
      </c>
      <c r="D8" s="61"/>
      <c r="E8" s="60"/>
      <c r="F8" s="69" t="str">
        <f>IFERROR(INDEX(Table_Prescript_Meas[Units], MATCH(Table_Controls_Input23[[#This Row],[Measure Number]], Table_Prescript_Meas[Measure Number], 0)), "")</f>
        <v/>
      </c>
      <c r="G8" s="49"/>
      <c r="H8" s="60"/>
      <c r="I8" s="73"/>
      <c r="J8" s="73"/>
      <c r="K8"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8" s="74" t="str">
        <f>IFERROR(Table_Controls_Input23[[#This Row],[Number of Units (Sq.Ft.)]]*Table_Controls_Input23[[#This Row],[Per-Unit Incentive]], "")</f>
        <v/>
      </c>
      <c r="M8" s="75" t="str">
        <f>IFERROR(Table_Controls_Input23[[#This Row],[Number of Units (Sq.Ft.)]]*INDEX(Table_WinFilm_Savings[Deemed kWh Savings], MATCH(Table_Controls_Input23[[#This Row],[Measure Lookup Detail]], Table_WinFilm_Savings[Lookup Detail], 0)),"" )</f>
        <v/>
      </c>
      <c r="N8" s="81" t="str">
        <f>IFERROR(Table_Controls_Input23[[#This Row],[Number of Units (Sq.Ft.)]]*INDEX(Table_WinFilm_Savings[Deemed kW Savings], MATCH(Table_Controls_Input23[[#This Row],[Measure Lookup Detail]], Table_WinFilm_Savings[Lookup Detail], 0)),"" )</f>
        <v/>
      </c>
      <c r="O8" s="74" t="str">
        <f t="shared" si="0"/>
        <v/>
      </c>
      <c r="P8" s="74" t="str">
        <f>IF(Table_Controls_Input23[[#This Row],[Measure Number]]="", "", Table_Controls_Input23[[#This Row],[Total Equipment Cost]]+Table_Controls_Input23[[#This Row],[Total Labor Cost]])</f>
        <v/>
      </c>
      <c r="Q8" s="74" t="str">
        <f>IFERROR(Table_Controls_Input23[[#This Row],[Gross Measure Cost]]-Table_Controls_Input23[[#This Row],[Estimated Incentive]], "")</f>
        <v/>
      </c>
      <c r="R8" s="75" t="str">
        <f t="shared" si="1"/>
        <v/>
      </c>
      <c r="S8" s="115" t="str">
        <f>_xlfn.CONCAT(Table_Controls_Input23[[#This Row],[Window Film Measure]], Table_Controls_Input23[[#This Row],[Window Direction]])</f>
        <v/>
      </c>
      <c r="T8" s="3"/>
      <c r="U8" s="3"/>
      <c r="V8" s="3"/>
      <c r="W8" s="3"/>
      <c r="X8" s="3"/>
      <c r="Y8" s="3"/>
      <c r="Z8" s="3"/>
      <c r="AA8" s="3"/>
      <c r="AB8" s="3"/>
      <c r="AC8" s="3"/>
      <c r="AD8" s="3"/>
      <c r="AE8" s="3"/>
      <c r="AF8" s="3"/>
      <c r="AG8" s="3"/>
      <c r="AH8" s="3"/>
      <c r="AI8" s="3"/>
      <c r="AJ8" s="3"/>
      <c r="AK8" s="3"/>
      <c r="AL8" s="3"/>
      <c r="AM8" s="3"/>
      <c r="AN8" s="3"/>
    </row>
    <row r="9" spans="1:40" x14ac:dyDescent="0.2">
      <c r="A9" s="3"/>
      <c r="B9" s="71">
        <v>5</v>
      </c>
      <c r="C9" s="69" t="str">
        <f>IFERROR(INDEX(Table_WinFilm_Savings[Measure No], MATCH(Table_Controls_Input23[[#This Row],[Measure Lookup Detail]], Table_WinFilm_Savings[Lookup Detail], 0)), "")</f>
        <v/>
      </c>
      <c r="D9" s="61"/>
      <c r="E9" s="60"/>
      <c r="F9" s="69" t="str">
        <f>IFERROR(INDEX(Table_Prescript_Meas[Units], MATCH(Table_Controls_Input23[[#This Row],[Measure Number]], Table_Prescript_Meas[Measure Number], 0)), "")</f>
        <v/>
      </c>
      <c r="G9" s="49"/>
      <c r="H9" s="60"/>
      <c r="I9" s="73"/>
      <c r="J9" s="73"/>
      <c r="K9"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9" s="74" t="str">
        <f>IFERROR(Table_Controls_Input23[[#This Row],[Number of Units (Sq.Ft.)]]*Table_Controls_Input23[[#This Row],[Per-Unit Incentive]], "")</f>
        <v/>
      </c>
      <c r="M9" s="75" t="str">
        <f>IFERROR(Table_Controls_Input23[[#This Row],[Number of Units (Sq.Ft.)]]*INDEX(Table_WinFilm_Savings[Deemed kWh Savings], MATCH(Table_Controls_Input23[[#This Row],[Measure Lookup Detail]], Table_WinFilm_Savings[Lookup Detail], 0)),"" )</f>
        <v/>
      </c>
      <c r="N9" s="81" t="str">
        <f>IFERROR(Table_Controls_Input23[[#This Row],[Number of Units (Sq.Ft.)]]*INDEX(Table_WinFilm_Savings[Deemed kW Savings], MATCH(Table_Controls_Input23[[#This Row],[Measure Lookup Detail]], Table_WinFilm_Savings[Lookup Detail], 0)),"" )</f>
        <v/>
      </c>
      <c r="O9" s="74" t="str">
        <f t="shared" si="0"/>
        <v/>
      </c>
      <c r="P9" s="74" t="str">
        <f>IF(Table_Controls_Input23[[#This Row],[Measure Number]]="", "", Table_Controls_Input23[[#This Row],[Total Equipment Cost]]+Table_Controls_Input23[[#This Row],[Total Labor Cost]])</f>
        <v/>
      </c>
      <c r="Q9" s="74" t="str">
        <f>IFERROR(Table_Controls_Input23[[#This Row],[Gross Measure Cost]]-Table_Controls_Input23[[#This Row],[Estimated Incentive]], "")</f>
        <v/>
      </c>
      <c r="R9" s="75" t="str">
        <f t="shared" si="1"/>
        <v/>
      </c>
      <c r="S9" s="115" t="str">
        <f>_xlfn.CONCAT(Table_Controls_Input23[[#This Row],[Window Film Measure]], Table_Controls_Input23[[#This Row],[Window Direction]])</f>
        <v/>
      </c>
      <c r="T9" s="3"/>
      <c r="U9" s="3"/>
      <c r="V9" s="3"/>
      <c r="W9" s="3"/>
      <c r="X9" s="3"/>
      <c r="Y9" s="3"/>
      <c r="Z9" s="3"/>
      <c r="AA9" s="3"/>
      <c r="AB9" s="3"/>
      <c r="AC9" s="3"/>
      <c r="AD9" s="3"/>
      <c r="AE9" s="3"/>
      <c r="AF9" s="3"/>
      <c r="AG9" s="3"/>
      <c r="AH9" s="3"/>
      <c r="AI9" s="3"/>
      <c r="AJ9" s="3"/>
      <c r="AK9" s="3"/>
      <c r="AL9" s="3"/>
      <c r="AM9" s="3"/>
      <c r="AN9" s="3"/>
    </row>
    <row r="10" spans="1:40" x14ac:dyDescent="0.2">
      <c r="A10" s="3"/>
      <c r="B10" s="71">
        <v>6</v>
      </c>
      <c r="C10" s="69" t="str">
        <f>IFERROR(INDEX(Table_WinFilm_Savings[Measure No], MATCH(Table_Controls_Input23[[#This Row],[Measure Lookup Detail]], Table_WinFilm_Savings[Lookup Detail], 0)), "")</f>
        <v/>
      </c>
      <c r="D10" s="61"/>
      <c r="E10" s="60"/>
      <c r="F10" s="69" t="str">
        <f>IFERROR(INDEX(Table_Prescript_Meas[Units], MATCH(Table_Controls_Input23[[#This Row],[Measure Number]], Table_Prescript_Meas[Measure Number], 0)), "")</f>
        <v/>
      </c>
      <c r="G10" s="49"/>
      <c r="H10" s="60"/>
      <c r="I10" s="73"/>
      <c r="J10" s="73"/>
      <c r="K10"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10" s="74" t="str">
        <f>IFERROR(Table_Controls_Input23[[#This Row],[Number of Units (Sq.Ft.)]]*Table_Controls_Input23[[#This Row],[Per-Unit Incentive]], "")</f>
        <v/>
      </c>
      <c r="M10" s="75" t="str">
        <f>IFERROR(Table_Controls_Input23[[#This Row],[Number of Units (Sq.Ft.)]]*INDEX(Table_WinFilm_Savings[Deemed kWh Savings], MATCH(Table_Controls_Input23[[#This Row],[Measure Lookup Detail]], Table_WinFilm_Savings[Lookup Detail], 0)),"" )</f>
        <v/>
      </c>
      <c r="N10" s="81" t="str">
        <f>IFERROR(Table_Controls_Input23[[#This Row],[Number of Units (Sq.Ft.)]]*INDEX(Table_WinFilm_Savings[Deemed kW Savings], MATCH(Table_Controls_Input23[[#This Row],[Measure Lookup Detail]], Table_WinFilm_Savings[Lookup Detail], 0)),"" )</f>
        <v/>
      </c>
      <c r="O10" s="74" t="str">
        <f t="shared" si="0"/>
        <v/>
      </c>
      <c r="P10" s="74" t="str">
        <f>IF(Table_Controls_Input23[[#This Row],[Measure Number]]="", "", Table_Controls_Input23[[#This Row],[Total Equipment Cost]]+Table_Controls_Input23[[#This Row],[Total Labor Cost]])</f>
        <v/>
      </c>
      <c r="Q10" s="74" t="str">
        <f>IFERROR(Table_Controls_Input23[[#This Row],[Gross Measure Cost]]-Table_Controls_Input23[[#This Row],[Estimated Incentive]], "")</f>
        <v/>
      </c>
      <c r="R10" s="75" t="str">
        <f t="shared" si="1"/>
        <v/>
      </c>
      <c r="S10" s="115" t="str">
        <f>_xlfn.CONCAT(Table_Controls_Input23[[#This Row],[Window Film Measure]], Table_Controls_Input23[[#This Row],[Window Direction]])</f>
        <v/>
      </c>
      <c r="T10" s="3"/>
      <c r="U10" s="3"/>
      <c r="V10" s="3"/>
      <c r="W10" s="3"/>
      <c r="X10" s="3"/>
      <c r="Y10" s="3"/>
      <c r="Z10" s="3"/>
      <c r="AA10" s="3"/>
      <c r="AB10" s="3"/>
      <c r="AC10" s="3"/>
      <c r="AD10" s="3"/>
      <c r="AE10" s="3"/>
      <c r="AF10" s="3"/>
      <c r="AG10" s="3"/>
      <c r="AH10" s="3"/>
      <c r="AI10" s="3"/>
      <c r="AJ10" s="3"/>
      <c r="AK10" s="3"/>
      <c r="AL10" s="3"/>
      <c r="AM10" s="3"/>
      <c r="AN10" s="3"/>
    </row>
    <row r="11" spans="1:40" x14ac:dyDescent="0.2">
      <c r="A11" s="3"/>
      <c r="B11" s="71">
        <v>7</v>
      </c>
      <c r="C11" s="69" t="str">
        <f>IFERROR(INDEX(Table_WinFilm_Savings[Measure No], MATCH(Table_Controls_Input23[[#This Row],[Measure Lookup Detail]], Table_WinFilm_Savings[Lookup Detail], 0)), "")</f>
        <v/>
      </c>
      <c r="D11" s="61"/>
      <c r="E11" s="60"/>
      <c r="F11" s="69" t="str">
        <f>IFERROR(INDEX(Table_Prescript_Meas[Units], MATCH(Table_Controls_Input23[[#This Row],[Measure Number]], Table_Prescript_Meas[Measure Number], 0)), "")</f>
        <v/>
      </c>
      <c r="G11" s="49"/>
      <c r="H11" s="60"/>
      <c r="I11" s="73"/>
      <c r="J11" s="73"/>
      <c r="K11"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11" s="74" t="str">
        <f>IFERROR(Table_Controls_Input23[[#This Row],[Number of Units (Sq.Ft.)]]*Table_Controls_Input23[[#This Row],[Per-Unit Incentive]], "")</f>
        <v/>
      </c>
      <c r="M11" s="75" t="str">
        <f>IFERROR(Table_Controls_Input23[[#This Row],[Number of Units (Sq.Ft.)]]*INDEX(Table_WinFilm_Savings[Deemed kWh Savings], MATCH(Table_Controls_Input23[[#This Row],[Measure Lookup Detail]], Table_WinFilm_Savings[Lookup Detail], 0)),"" )</f>
        <v/>
      </c>
      <c r="N11" s="81" t="str">
        <f>IFERROR(Table_Controls_Input23[[#This Row],[Number of Units (Sq.Ft.)]]*INDEX(Table_WinFilm_Savings[Deemed kW Savings], MATCH(Table_Controls_Input23[[#This Row],[Measure Lookup Detail]], Table_WinFilm_Savings[Lookup Detail], 0)),"" )</f>
        <v/>
      </c>
      <c r="O11" s="74" t="str">
        <f t="shared" si="0"/>
        <v/>
      </c>
      <c r="P11" s="74" t="str">
        <f>IF(Table_Controls_Input23[[#This Row],[Measure Number]]="", "", Table_Controls_Input23[[#This Row],[Total Equipment Cost]]+Table_Controls_Input23[[#This Row],[Total Labor Cost]])</f>
        <v/>
      </c>
      <c r="Q11" s="74" t="str">
        <f>IFERROR(Table_Controls_Input23[[#This Row],[Gross Measure Cost]]-Table_Controls_Input23[[#This Row],[Estimated Incentive]], "")</f>
        <v/>
      </c>
      <c r="R11" s="75" t="str">
        <f t="shared" si="1"/>
        <v/>
      </c>
      <c r="S11" s="115" t="str">
        <f>_xlfn.CONCAT(Table_Controls_Input23[[#This Row],[Window Film Measure]], Table_Controls_Input23[[#This Row],[Window Direction]])</f>
        <v/>
      </c>
      <c r="T11" s="3"/>
      <c r="U11" s="3"/>
      <c r="V11" s="3"/>
      <c r="W11" s="3"/>
      <c r="X11" s="3"/>
      <c r="Y11" s="3"/>
      <c r="Z11" s="3"/>
      <c r="AA11" s="3"/>
      <c r="AB11" s="3"/>
      <c r="AC11" s="3"/>
      <c r="AD11" s="3"/>
      <c r="AE11" s="3"/>
      <c r="AF11" s="3"/>
      <c r="AG11" s="3"/>
      <c r="AH11" s="3"/>
      <c r="AI11" s="3"/>
      <c r="AJ11" s="3"/>
      <c r="AK11" s="3"/>
      <c r="AL11" s="3"/>
      <c r="AM11" s="3"/>
      <c r="AN11" s="3"/>
    </row>
    <row r="12" spans="1:40" x14ac:dyDescent="0.2">
      <c r="A12" s="3"/>
      <c r="B12" s="71">
        <v>8</v>
      </c>
      <c r="C12" s="69" t="str">
        <f>IFERROR(INDEX(Table_WinFilm_Savings[Measure No], MATCH(Table_Controls_Input23[[#This Row],[Measure Lookup Detail]], Table_WinFilm_Savings[Lookup Detail], 0)), "")</f>
        <v/>
      </c>
      <c r="D12" s="61"/>
      <c r="E12" s="60"/>
      <c r="F12" s="69" t="str">
        <f>IFERROR(INDEX(Table_Prescript_Meas[Units], MATCH(Table_Controls_Input23[[#This Row],[Measure Number]], Table_Prescript_Meas[Measure Number], 0)), "")</f>
        <v/>
      </c>
      <c r="G12" s="49"/>
      <c r="H12" s="60"/>
      <c r="I12" s="73"/>
      <c r="J12" s="73"/>
      <c r="K12"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12" s="74" t="str">
        <f>IFERROR(Table_Controls_Input23[[#This Row],[Number of Units (Sq.Ft.)]]*Table_Controls_Input23[[#This Row],[Per-Unit Incentive]], "")</f>
        <v/>
      </c>
      <c r="M12" s="75" t="str">
        <f>IFERROR(Table_Controls_Input23[[#This Row],[Number of Units (Sq.Ft.)]]*INDEX(Table_WinFilm_Savings[Deemed kWh Savings], MATCH(Table_Controls_Input23[[#This Row],[Measure Lookup Detail]], Table_WinFilm_Savings[Lookup Detail], 0)),"" )</f>
        <v/>
      </c>
      <c r="N12" s="81" t="str">
        <f>IFERROR(Table_Controls_Input23[[#This Row],[Number of Units (Sq.Ft.)]]*INDEX(Table_WinFilm_Savings[Deemed kW Savings], MATCH(Table_Controls_Input23[[#This Row],[Measure Lookup Detail]], Table_WinFilm_Savings[Lookup Detail], 0)),"" )</f>
        <v/>
      </c>
      <c r="O12" s="74" t="str">
        <f t="shared" si="0"/>
        <v/>
      </c>
      <c r="P12" s="74" t="str">
        <f>IF(Table_Controls_Input23[[#This Row],[Measure Number]]="", "", Table_Controls_Input23[[#This Row],[Total Equipment Cost]]+Table_Controls_Input23[[#This Row],[Total Labor Cost]])</f>
        <v/>
      </c>
      <c r="Q12" s="74" t="str">
        <f>IFERROR(Table_Controls_Input23[[#This Row],[Gross Measure Cost]]-Table_Controls_Input23[[#This Row],[Estimated Incentive]], "")</f>
        <v/>
      </c>
      <c r="R12" s="75" t="str">
        <f t="shared" si="1"/>
        <v/>
      </c>
      <c r="S12" s="115" t="str">
        <f>_xlfn.CONCAT(Table_Controls_Input23[[#This Row],[Window Film Measure]], Table_Controls_Input23[[#This Row],[Window Direction]])</f>
        <v/>
      </c>
      <c r="T12" s="3"/>
      <c r="U12" s="3"/>
      <c r="V12" s="3"/>
      <c r="W12" s="3"/>
      <c r="X12" s="3"/>
      <c r="Y12" s="3"/>
      <c r="Z12" s="3"/>
      <c r="AA12" s="3"/>
      <c r="AB12" s="3"/>
      <c r="AC12" s="3"/>
      <c r="AD12" s="3"/>
      <c r="AE12" s="3"/>
      <c r="AF12" s="3"/>
      <c r="AG12" s="3"/>
      <c r="AH12" s="3"/>
      <c r="AI12" s="3"/>
      <c r="AJ12" s="3"/>
      <c r="AK12" s="3"/>
      <c r="AL12" s="3"/>
      <c r="AM12" s="3"/>
      <c r="AN12" s="3"/>
    </row>
    <row r="13" spans="1:40" x14ac:dyDescent="0.2">
      <c r="A13" s="3"/>
      <c r="B13" s="71">
        <v>9</v>
      </c>
      <c r="C13" s="69" t="str">
        <f>IFERROR(INDEX(Table_WinFilm_Savings[Measure No], MATCH(Table_Controls_Input23[[#This Row],[Measure Lookup Detail]], Table_WinFilm_Savings[Lookup Detail], 0)), "")</f>
        <v/>
      </c>
      <c r="D13" s="61"/>
      <c r="E13" s="60"/>
      <c r="F13" s="69" t="str">
        <f>IFERROR(INDEX(Table_Prescript_Meas[Units], MATCH(Table_Controls_Input23[[#This Row],[Measure Number]], Table_Prescript_Meas[Measure Number], 0)), "")</f>
        <v/>
      </c>
      <c r="G13" s="49"/>
      <c r="H13" s="60"/>
      <c r="I13" s="73"/>
      <c r="J13" s="73"/>
      <c r="K13"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13" s="74" t="str">
        <f>IFERROR(Table_Controls_Input23[[#This Row],[Number of Units (Sq.Ft.)]]*Table_Controls_Input23[[#This Row],[Per-Unit Incentive]], "")</f>
        <v/>
      </c>
      <c r="M13" s="75" t="str">
        <f>IFERROR(Table_Controls_Input23[[#This Row],[Number of Units (Sq.Ft.)]]*INDEX(Table_WinFilm_Savings[Deemed kWh Savings], MATCH(Table_Controls_Input23[[#This Row],[Measure Lookup Detail]], Table_WinFilm_Savings[Lookup Detail], 0)),"" )</f>
        <v/>
      </c>
      <c r="N13" s="81" t="str">
        <f>IFERROR(Table_Controls_Input23[[#This Row],[Number of Units (Sq.Ft.)]]*INDEX(Table_WinFilm_Savings[Deemed kW Savings], MATCH(Table_Controls_Input23[[#This Row],[Measure Lookup Detail]], Table_WinFilm_Savings[Lookup Detail], 0)),"" )</f>
        <v/>
      </c>
      <c r="O13" s="74" t="str">
        <f t="shared" si="0"/>
        <v/>
      </c>
      <c r="P13" s="74" t="str">
        <f>IF(Table_Controls_Input23[[#This Row],[Measure Number]]="", "", Table_Controls_Input23[[#This Row],[Total Equipment Cost]]+Table_Controls_Input23[[#This Row],[Total Labor Cost]])</f>
        <v/>
      </c>
      <c r="Q13" s="74" t="str">
        <f>IFERROR(Table_Controls_Input23[[#This Row],[Gross Measure Cost]]-Table_Controls_Input23[[#This Row],[Estimated Incentive]], "")</f>
        <v/>
      </c>
      <c r="R13" s="75" t="str">
        <f t="shared" si="1"/>
        <v/>
      </c>
      <c r="S13" s="115" t="str">
        <f>_xlfn.CONCAT(Table_Controls_Input23[[#This Row],[Window Film Measure]], Table_Controls_Input23[[#This Row],[Window Direction]])</f>
        <v/>
      </c>
      <c r="T13" s="3"/>
      <c r="U13" s="3"/>
      <c r="V13" s="3"/>
      <c r="W13" s="3"/>
      <c r="X13" s="3"/>
      <c r="Y13" s="3"/>
      <c r="Z13" s="3"/>
      <c r="AA13" s="3"/>
      <c r="AB13" s="3"/>
      <c r="AC13" s="3"/>
      <c r="AD13" s="3"/>
      <c r="AE13" s="3"/>
      <c r="AF13" s="3"/>
      <c r="AG13" s="3"/>
      <c r="AH13" s="3"/>
      <c r="AI13" s="3"/>
      <c r="AJ13" s="3"/>
      <c r="AK13" s="3"/>
      <c r="AL13" s="3"/>
      <c r="AM13" s="3"/>
      <c r="AN13" s="3"/>
    </row>
    <row r="14" spans="1:40" x14ac:dyDescent="0.2">
      <c r="A14" s="3"/>
      <c r="B14" s="71">
        <v>10</v>
      </c>
      <c r="C14" s="69" t="str">
        <f>IFERROR(INDEX(Table_WinFilm_Savings[Measure No], MATCH(Table_Controls_Input23[[#This Row],[Measure Lookup Detail]], Table_WinFilm_Savings[Lookup Detail], 0)), "")</f>
        <v/>
      </c>
      <c r="D14" s="61"/>
      <c r="E14" s="60"/>
      <c r="F14" s="69" t="str">
        <f>IFERROR(INDEX(Table_Prescript_Meas[Units], MATCH(Table_Controls_Input23[[#This Row],[Measure Number]], Table_Prescript_Meas[Measure Number], 0)), "")</f>
        <v/>
      </c>
      <c r="G14" s="49"/>
      <c r="H14" s="60"/>
      <c r="I14" s="73"/>
      <c r="J14" s="73"/>
      <c r="K14"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14" s="74" t="str">
        <f>IFERROR(Table_Controls_Input23[[#This Row],[Number of Units (Sq.Ft.)]]*Table_Controls_Input23[[#This Row],[Per-Unit Incentive]], "")</f>
        <v/>
      </c>
      <c r="M14" s="75" t="str">
        <f>IFERROR(Table_Controls_Input23[[#This Row],[Number of Units (Sq.Ft.)]]*INDEX(Table_WinFilm_Savings[Deemed kWh Savings], MATCH(Table_Controls_Input23[[#This Row],[Measure Lookup Detail]], Table_WinFilm_Savings[Lookup Detail], 0)),"" )</f>
        <v/>
      </c>
      <c r="N14" s="81" t="str">
        <f>IFERROR(Table_Controls_Input23[[#This Row],[Number of Units (Sq.Ft.)]]*INDEX(Table_WinFilm_Savings[Deemed kW Savings], MATCH(Table_Controls_Input23[[#This Row],[Measure Lookup Detail]], Table_WinFilm_Savings[Lookup Detail], 0)),"" )</f>
        <v/>
      </c>
      <c r="O14" s="74" t="str">
        <f t="shared" si="0"/>
        <v/>
      </c>
      <c r="P14" s="74" t="str">
        <f>IF(Table_Controls_Input23[[#This Row],[Measure Number]]="", "", Table_Controls_Input23[[#This Row],[Total Equipment Cost]]+Table_Controls_Input23[[#This Row],[Total Labor Cost]])</f>
        <v/>
      </c>
      <c r="Q14" s="74" t="str">
        <f>IFERROR(Table_Controls_Input23[[#This Row],[Gross Measure Cost]]-Table_Controls_Input23[[#This Row],[Estimated Incentive]], "")</f>
        <v/>
      </c>
      <c r="R14" s="75" t="str">
        <f t="shared" si="1"/>
        <v/>
      </c>
      <c r="S14" s="115" t="str">
        <f>_xlfn.CONCAT(Table_Controls_Input23[[#This Row],[Window Film Measure]], Table_Controls_Input23[[#This Row],[Window Direction]])</f>
        <v/>
      </c>
      <c r="T14" s="3"/>
      <c r="U14" s="3"/>
      <c r="V14" s="3"/>
      <c r="W14" s="3"/>
      <c r="X14" s="3"/>
      <c r="Y14" s="3"/>
      <c r="Z14" s="3"/>
      <c r="AA14" s="3"/>
      <c r="AB14" s="3"/>
      <c r="AC14" s="3"/>
      <c r="AD14" s="3"/>
      <c r="AE14" s="3"/>
      <c r="AF14" s="3"/>
      <c r="AG14" s="3"/>
      <c r="AH14" s="3"/>
      <c r="AI14" s="3"/>
      <c r="AJ14" s="3"/>
      <c r="AK14" s="3"/>
      <c r="AL14" s="3"/>
      <c r="AM14" s="3"/>
      <c r="AN14" s="3"/>
    </row>
    <row r="15" spans="1:40" x14ac:dyDescent="0.2">
      <c r="A15" s="3"/>
      <c r="B15" s="71">
        <v>11</v>
      </c>
      <c r="C15" s="69" t="str">
        <f>IFERROR(INDEX(Table_WinFilm_Savings[Measure No], MATCH(Table_Controls_Input23[[#This Row],[Measure Lookup Detail]], Table_WinFilm_Savings[Lookup Detail], 0)), "")</f>
        <v/>
      </c>
      <c r="D15" s="61"/>
      <c r="E15" s="60"/>
      <c r="F15" s="69" t="str">
        <f>IFERROR(INDEX(Table_Prescript_Meas[Units], MATCH(Table_Controls_Input23[[#This Row],[Measure Number]], Table_Prescript_Meas[Measure Number], 0)), "")</f>
        <v/>
      </c>
      <c r="G15" s="49"/>
      <c r="H15" s="60"/>
      <c r="I15" s="73"/>
      <c r="J15" s="73"/>
      <c r="K15"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15" s="74" t="str">
        <f>IFERROR(Table_Controls_Input23[[#This Row],[Number of Units (Sq.Ft.)]]*Table_Controls_Input23[[#This Row],[Per-Unit Incentive]], "")</f>
        <v/>
      </c>
      <c r="M15" s="75" t="str">
        <f>IFERROR(Table_Controls_Input23[[#This Row],[Number of Units (Sq.Ft.)]]*INDEX(Table_WinFilm_Savings[Deemed kWh Savings], MATCH(Table_Controls_Input23[[#This Row],[Measure Lookup Detail]], Table_WinFilm_Savings[Lookup Detail], 0)),"" )</f>
        <v/>
      </c>
      <c r="N15" s="81" t="str">
        <f>IFERROR(Table_Controls_Input23[[#This Row],[Number of Units (Sq.Ft.)]]*INDEX(Table_WinFilm_Savings[Deemed kW Savings], MATCH(Table_Controls_Input23[[#This Row],[Measure Lookup Detail]], Table_WinFilm_Savings[Lookup Detail], 0)),"" )</f>
        <v/>
      </c>
      <c r="O15" s="74" t="str">
        <f t="shared" si="0"/>
        <v/>
      </c>
      <c r="P15" s="74" t="str">
        <f>IF(Table_Controls_Input23[[#This Row],[Measure Number]]="", "", Table_Controls_Input23[[#This Row],[Total Equipment Cost]]+Table_Controls_Input23[[#This Row],[Total Labor Cost]])</f>
        <v/>
      </c>
      <c r="Q15" s="74" t="str">
        <f>IFERROR(Table_Controls_Input23[[#This Row],[Gross Measure Cost]]-Table_Controls_Input23[[#This Row],[Estimated Incentive]], "")</f>
        <v/>
      </c>
      <c r="R15" s="75" t="str">
        <f t="shared" si="1"/>
        <v/>
      </c>
      <c r="S15" s="115" t="str">
        <f>_xlfn.CONCAT(Table_Controls_Input23[[#This Row],[Window Film Measure]], Table_Controls_Input23[[#This Row],[Window Direction]])</f>
        <v/>
      </c>
      <c r="T15" s="3"/>
      <c r="U15" s="3"/>
      <c r="V15" s="3"/>
      <c r="W15" s="3"/>
      <c r="X15" s="3"/>
      <c r="Y15" s="3"/>
      <c r="Z15" s="3"/>
      <c r="AA15" s="3"/>
      <c r="AB15" s="3"/>
      <c r="AC15" s="3"/>
      <c r="AD15" s="3"/>
      <c r="AE15" s="3"/>
      <c r="AF15" s="3"/>
      <c r="AG15" s="3"/>
      <c r="AH15" s="3"/>
      <c r="AI15" s="3"/>
      <c r="AJ15" s="3"/>
      <c r="AK15" s="3"/>
      <c r="AL15" s="3"/>
      <c r="AM15" s="3"/>
      <c r="AN15" s="3"/>
    </row>
    <row r="16" spans="1:40" x14ac:dyDescent="0.2">
      <c r="A16" s="3"/>
      <c r="B16" s="71">
        <v>12</v>
      </c>
      <c r="C16" s="69" t="str">
        <f>IFERROR(INDEX(Table_WinFilm_Savings[Measure No], MATCH(Table_Controls_Input23[[#This Row],[Measure Lookup Detail]], Table_WinFilm_Savings[Lookup Detail], 0)), "")</f>
        <v/>
      </c>
      <c r="D16" s="61"/>
      <c r="E16" s="60"/>
      <c r="F16" s="69" t="str">
        <f>IFERROR(INDEX(Table_Prescript_Meas[Units], MATCH(Table_Controls_Input23[[#This Row],[Measure Number]], Table_Prescript_Meas[Measure Number], 0)), "")</f>
        <v/>
      </c>
      <c r="G16" s="49"/>
      <c r="H16" s="60"/>
      <c r="I16" s="73"/>
      <c r="J16" s="73"/>
      <c r="K16"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16" s="74" t="str">
        <f>IFERROR(Table_Controls_Input23[[#This Row],[Number of Units (Sq.Ft.)]]*Table_Controls_Input23[[#This Row],[Per-Unit Incentive]], "")</f>
        <v/>
      </c>
      <c r="M16" s="75" t="str">
        <f>IFERROR(Table_Controls_Input23[[#This Row],[Number of Units (Sq.Ft.)]]*INDEX(Table_WinFilm_Savings[Deemed kWh Savings], MATCH(Table_Controls_Input23[[#This Row],[Measure Lookup Detail]], Table_WinFilm_Savings[Lookup Detail], 0)),"" )</f>
        <v/>
      </c>
      <c r="N16" s="81" t="str">
        <f>IFERROR(Table_Controls_Input23[[#This Row],[Number of Units (Sq.Ft.)]]*INDEX(Table_WinFilm_Savings[Deemed kW Savings], MATCH(Table_Controls_Input23[[#This Row],[Measure Lookup Detail]], Table_WinFilm_Savings[Lookup Detail], 0)),"" )</f>
        <v/>
      </c>
      <c r="O16" s="74" t="str">
        <f t="shared" si="0"/>
        <v/>
      </c>
      <c r="P16" s="74" t="str">
        <f>IF(Table_Controls_Input23[[#This Row],[Measure Number]]="", "", Table_Controls_Input23[[#This Row],[Total Equipment Cost]]+Table_Controls_Input23[[#This Row],[Total Labor Cost]])</f>
        <v/>
      </c>
      <c r="Q16" s="74" t="str">
        <f>IFERROR(Table_Controls_Input23[[#This Row],[Gross Measure Cost]]-Table_Controls_Input23[[#This Row],[Estimated Incentive]], "")</f>
        <v/>
      </c>
      <c r="R16" s="75" t="str">
        <f t="shared" si="1"/>
        <v/>
      </c>
      <c r="S16" s="115" t="str">
        <f>_xlfn.CONCAT(Table_Controls_Input23[[#This Row],[Window Film Measure]], Table_Controls_Input23[[#This Row],[Window Direction]])</f>
        <v/>
      </c>
      <c r="T16" s="3"/>
      <c r="U16" s="3"/>
      <c r="V16" s="3"/>
      <c r="W16" s="3"/>
      <c r="X16" s="3"/>
      <c r="Y16" s="3"/>
      <c r="Z16" s="3"/>
      <c r="AA16" s="3"/>
      <c r="AB16" s="3"/>
      <c r="AC16" s="3"/>
      <c r="AD16" s="3"/>
      <c r="AE16" s="3"/>
      <c r="AF16" s="3"/>
      <c r="AG16" s="3"/>
      <c r="AH16" s="3"/>
      <c r="AI16" s="3"/>
      <c r="AJ16" s="3"/>
      <c r="AK16" s="3"/>
      <c r="AL16" s="3"/>
      <c r="AM16" s="3"/>
      <c r="AN16" s="3"/>
    </row>
    <row r="17" spans="1:40" x14ac:dyDescent="0.2">
      <c r="A17" s="3"/>
      <c r="B17" s="71">
        <v>13</v>
      </c>
      <c r="C17" s="69" t="str">
        <f>IFERROR(INDEX(Table_WinFilm_Savings[Measure No], MATCH(Table_Controls_Input23[[#This Row],[Measure Lookup Detail]], Table_WinFilm_Savings[Lookup Detail], 0)), "")</f>
        <v/>
      </c>
      <c r="D17" s="61"/>
      <c r="E17" s="60"/>
      <c r="F17" s="69" t="str">
        <f>IFERROR(INDEX(Table_Prescript_Meas[Units], MATCH(Table_Controls_Input23[[#This Row],[Measure Number]], Table_Prescript_Meas[Measure Number], 0)), "")</f>
        <v/>
      </c>
      <c r="G17" s="49"/>
      <c r="H17" s="60"/>
      <c r="I17" s="73"/>
      <c r="J17" s="73"/>
      <c r="K17"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17" s="74" t="str">
        <f>IFERROR(Table_Controls_Input23[[#This Row],[Number of Units (Sq.Ft.)]]*Table_Controls_Input23[[#This Row],[Per-Unit Incentive]], "")</f>
        <v/>
      </c>
      <c r="M17" s="75" t="str">
        <f>IFERROR(Table_Controls_Input23[[#This Row],[Number of Units (Sq.Ft.)]]*INDEX(Table_WinFilm_Savings[Deemed kWh Savings], MATCH(Table_Controls_Input23[[#This Row],[Measure Lookup Detail]], Table_WinFilm_Savings[Lookup Detail], 0)),"" )</f>
        <v/>
      </c>
      <c r="N17" s="81" t="str">
        <f>IFERROR(Table_Controls_Input23[[#This Row],[Number of Units (Sq.Ft.)]]*INDEX(Table_WinFilm_Savings[Deemed kW Savings], MATCH(Table_Controls_Input23[[#This Row],[Measure Lookup Detail]], Table_WinFilm_Savings[Lookup Detail], 0)),"" )</f>
        <v/>
      </c>
      <c r="O17" s="74" t="str">
        <f t="shared" si="0"/>
        <v/>
      </c>
      <c r="P17" s="74" t="str">
        <f>IF(Table_Controls_Input23[[#This Row],[Measure Number]]="", "", Table_Controls_Input23[[#This Row],[Total Equipment Cost]]+Table_Controls_Input23[[#This Row],[Total Labor Cost]])</f>
        <v/>
      </c>
      <c r="Q17" s="74" t="str">
        <f>IFERROR(Table_Controls_Input23[[#This Row],[Gross Measure Cost]]-Table_Controls_Input23[[#This Row],[Estimated Incentive]], "")</f>
        <v/>
      </c>
      <c r="R17" s="75" t="str">
        <f t="shared" si="1"/>
        <v/>
      </c>
      <c r="S17" s="115" t="str">
        <f>_xlfn.CONCAT(Table_Controls_Input23[[#This Row],[Window Film Measure]], Table_Controls_Input23[[#This Row],[Window Direction]])</f>
        <v/>
      </c>
      <c r="T17" s="3"/>
      <c r="U17" s="3"/>
      <c r="V17" s="3"/>
      <c r="W17" s="3"/>
      <c r="X17" s="3"/>
      <c r="Y17" s="3"/>
      <c r="Z17" s="3"/>
      <c r="AA17" s="3"/>
      <c r="AB17" s="3"/>
      <c r="AC17" s="3"/>
      <c r="AD17" s="3"/>
      <c r="AE17" s="3"/>
      <c r="AF17" s="3"/>
      <c r="AG17" s="3"/>
      <c r="AH17" s="3"/>
      <c r="AI17" s="3"/>
      <c r="AJ17" s="3"/>
      <c r="AK17" s="3"/>
      <c r="AL17" s="3"/>
      <c r="AM17" s="3"/>
      <c r="AN17" s="3"/>
    </row>
    <row r="18" spans="1:40" x14ac:dyDescent="0.2">
      <c r="A18" s="3"/>
      <c r="B18" s="71">
        <v>14</v>
      </c>
      <c r="C18" s="69" t="str">
        <f>IFERROR(INDEX(Table_WinFilm_Savings[Measure No], MATCH(Table_Controls_Input23[[#This Row],[Measure Lookup Detail]], Table_WinFilm_Savings[Lookup Detail], 0)), "")</f>
        <v/>
      </c>
      <c r="D18" s="61"/>
      <c r="E18" s="60"/>
      <c r="F18" s="69" t="str">
        <f>IFERROR(INDEX(Table_Prescript_Meas[Units], MATCH(Table_Controls_Input23[[#This Row],[Measure Number]], Table_Prescript_Meas[Measure Number], 0)), "")</f>
        <v/>
      </c>
      <c r="G18" s="49"/>
      <c r="H18" s="60"/>
      <c r="I18" s="73"/>
      <c r="J18" s="73"/>
      <c r="K18"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18" s="74" t="str">
        <f>IFERROR(Table_Controls_Input23[[#This Row],[Number of Units (Sq.Ft.)]]*Table_Controls_Input23[[#This Row],[Per-Unit Incentive]], "")</f>
        <v/>
      </c>
      <c r="M18" s="75" t="str">
        <f>IFERROR(Table_Controls_Input23[[#This Row],[Number of Units (Sq.Ft.)]]*INDEX(Table_WinFilm_Savings[Deemed kWh Savings], MATCH(Table_Controls_Input23[[#This Row],[Measure Lookup Detail]], Table_WinFilm_Savings[Lookup Detail], 0)),"" )</f>
        <v/>
      </c>
      <c r="N18" s="81" t="str">
        <f>IFERROR(Table_Controls_Input23[[#This Row],[Number of Units (Sq.Ft.)]]*INDEX(Table_WinFilm_Savings[Deemed kW Savings], MATCH(Table_Controls_Input23[[#This Row],[Measure Lookup Detail]], Table_WinFilm_Savings[Lookup Detail], 0)),"" )</f>
        <v/>
      </c>
      <c r="O18" s="74" t="str">
        <f t="shared" si="0"/>
        <v/>
      </c>
      <c r="P18" s="74" t="str">
        <f>IF(Table_Controls_Input23[[#This Row],[Measure Number]]="", "", Table_Controls_Input23[[#This Row],[Total Equipment Cost]]+Table_Controls_Input23[[#This Row],[Total Labor Cost]])</f>
        <v/>
      </c>
      <c r="Q18" s="74" t="str">
        <f>IFERROR(Table_Controls_Input23[[#This Row],[Gross Measure Cost]]-Table_Controls_Input23[[#This Row],[Estimated Incentive]], "")</f>
        <v/>
      </c>
      <c r="R18" s="75" t="str">
        <f t="shared" si="1"/>
        <v/>
      </c>
      <c r="S18" s="115" t="str">
        <f>_xlfn.CONCAT(Table_Controls_Input23[[#This Row],[Window Film Measure]], Table_Controls_Input23[[#This Row],[Window Direction]])</f>
        <v/>
      </c>
      <c r="T18" s="3"/>
      <c r="U18" s="3"/>
      <c r="V18" s="3"/>
      <c r="W18" s="3"/>
      <c r="X18" s="3"/>
      <c r="Y18" s="3"/>
      <c r="Z18" s="3"/>
      <c r="AA18" s="3"/>
      <c r="AB18" s="3"/>
      <c r="AC18" s="3"/>
      <c r="AD18" s="3"/>
      <c r="AE18" s="3"/>
      <c r="AF18" s="3"/>
      <c r="AG18" s="3"/>
      <c r="AH18" s="3"/>
      <c r="AI18" s="3"/>
      <c r="AJ18" s="3"/>
      <c r="AK18" s="3"/>
      <c r="AL18" s="3"/>
      <c r="AM18" s="3"/>
      <c r="AN18" s="3"/>
    </row>
    <row r="19" spans="1:40" x14ac:dyDescent="0.2">
      <c r="A19" s="3"/>
      <c r="B19" s="71">
        <v>15</v>
      </c>
      <c r="C19" s="69" t="str">
        <f>IFERROR(INDEX(Table_WinFilm_Savings[Measure No], MATCH(Table_Controls_Input23[[#This Row],[Measure Lookup Detail]], Table_WinFilm_Savings[Lookup Detail], 0)), "")</f>
        <v/>
      </c>
      <c r="D19" s="61"/>
      <c r="E19" s="60"/>
      <c r="F19" s="69" t="str">
        <f>IFERROR(INDEX(Table_Prescript_Meas[Units], MATCH(Table_Controls_Input23[[#This Row],[Measure Number]], Table_Prescript_Meas[Measure Number], 0)), "")</f>
        <v/>
      </c>
      <c r="G19" s="49"/>
      <c r="H19" s="60"/>
      <c r="I19" s="73"/>
      <c r="J19" s="73"/>
      <c r="K19"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19" s="74" t="str">
        <f>IFERROR(Table_Controls_Input23[[#This Row],[Number of Units (Sq.Ft.)]]*Table_Controls_Input23[[#This Row],[Per-Unit Incentive]], "")</f>
        <v/>
      </c>
      <c r="M19" s="75" t="str">
        <f>IFERROR(Table_Controls_Input23[[#This Row],[Number of Units (Sq.Ft.)]]*INDEX(Table_WinFilm_Savings[Deemed kWh Savings], MATCH(Table_Controls_Input23[[#This Row],[Measure Lookup Detail]], Table_WinFilm_Savings[Lookup Detail], 0)),"" )</f>
        <v/>
      </c>
      <c r="N19" s="81" t="str">
        <f>IFERROR(Table_Controls_Input23[[#This Row],[Number of Units (Sq.Ft.)]]*INDEX(Table_WinFilm_Savings[Deemed kW Savings], MATCH(Table_Controls_Input23[[#This Row],[Measure Lookup Detail]], Table_WinFilm_Savings[Lookup Detail], 0)),"" )</f>
        <v/>
      </c>
      <c r="O19" s="74" t="str">
        <f t="shared" si="0"/>
        <v/>
      </c>
      <c r="P19" s="74" t="str">
        <f>IF(Table_Controls_Input23[[#This Row],[Measure Number]]="", "", Table_Controls_Input23[[#This Row],[Total Equipment Cost]]+Table_Controls_Input23[[#This Row],[Total Labor Cost]])</f>
        <v/>
      </c>
      <c r="Q19" s="74" t="str">
        <f>IFERROR(Table_Controls_Input23[[#This Row],[Gross Measure Cost]]-Table_Controls_Input23[[#This Row],[Estimated Incentive]], "")</f>
        <v/>
      </c>
      <c r="R19" s="75" t="str">
        <f t="shared" si="1"/>
        <v/>
      </c>
      <c r="S19" s="115" t="str">
        <f>_xlfn.CONCAT(Table_Controls_Input23[[#This Row],[Window Film Measure]], Table_Controls_Input23[[#This Row],[Window Direction]])</f>
        <v/>
      </c>
      <c r="T19" s="3"/>
      <c r="U19" s="3"/>
      <c r="V19" s="3"/>
      <c r="W19" s="3"/>
      <c r="X19" s="3"/>
      <c r="Y19" s="3"/>
      <c r="Z19" s="3"/>
      <c r="AA19" s="3"/>
      <c r="AB19" s="3"/>
      <c r="AC19" s="3"/>
      <c r="AD19" s="3"/>
      <c r="AE19" s="3"/>
      <c r="AF19" s="3"/>
      <c r="AG19" s="3"/>
      <c r="AH19" s="3"/>
      <c r="AI19" s="3"/>
      <c r="AJ19" s="3"/>
      <c r="AK19" s="3"/>
      <c r="AL19" s="3"/>
      <c r="AM19" s="3"/>
      <c r="AN19" s="3"/>
    </row>
    <row r="20" spans="1:40" x14ac:dyDescent="0.2">
      <c r="A20" s="3"/>
      <c r="B20" s="71">
        <v>16</v>
      </c>
      <c r="C20" s="69" t="str">
        <f>IFERROR(INDEX(Table_WinFilm_Savings[Measure No], MATCH(Table_Controls_Input23[[#This Row],[Measure Lookup Detail]], Table_WinFilm_Savings[Lookup Detail], 0)), "")</f>
        <v/>
      </c>
      <c r="D20" s="61"/>
      <c r="E20" s="60"/>
      <c r="F20" s="69" t="str">
        <f>IFERROR(INDEX(Table_Prescript_Meas[Units], MATCH(Table_Controls_Input23[[#This Row],[Measure Number]], Table_Prescript_Meas[Measure Number], 0)), "")</f>
        <v/>
      </c>
      <c r="G20" s="49"/>
      <c r="H20" s="60"/>
      <c r="I20" s="73"/>
      <c r="J20" s="73"/>
      <c r="K20"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20" s="74" t="str">
        <f>IFERROR(Table_Controls_Input23[[#This Row],[Number of Units (Sq.Ft.)]]*Table_Controls_Input23[[#This Row],[Per-Unit Incentive]], "")</f>
        <v/>
      </c>
      <c r="M20" s="75" t="str">
        <f>IFERROR(Table_Controls_Input23[[#This Row],[Number of Units (Sq.Ft.)]]*INDEX(Table_WinFilm_Savings[Deemed kWh Savings], MATCH(Table_Controls_Input23[[#This Row],[Measure Lookup Detail]], Table_WinFilm_Savings[Lookup Detail], 0)),"" )</f>
        <v/>
      </c>
      <c r="N20" s="81" t="str">
        <f>IFERROR(Table_Controls_Input23[[#This Row],[Number of Units (Sq.Ft.)]]*INDEX(Table_WinFilm_Savings[Deemed kW Savings], MATCH(Table_Controls_Input23[[#This Row],[Measure Lookup Detail]], Table_WinFilm_Savings[Lookup Detail], 0)),"" )</f>
        <v/>
      </c>
      <c r="O20" s="74" t="str">
        <f t="shared" si="0"/>
        <v/>
      </c>
      <c r="P20" s="74" t="str">
        <f>IF(Table_Controls_Input23[[#This Row],[Measure Number]]="", "", Table_Controls_Input23[[#This Row],[Total Equipment Cost]]+Table_Controls_Input23[[#This Row],[Total Labor Cost]])</f>
        <v/>
      </c>
      <c r="Q20" s="74" t="str">
        <f>IFERROR(Table_Controls_Input23[[#This Row],[Gross Measure Cost]]-Table_Controls_Input23[[#This Row],[Estimated Incentive]], "")</f>
        <v/>
      </c>
      <c r="R20" s="75" t="str">
        <f t="shared" si="1"/>
        <v/>
      </c>
      <c r="S20" s="115" t="str">
        <f>_xlfn.CONCAT(Table_Controls_Input23[[#This Row],[Window Film Measure]], Table_Controls_Input23[[#This Row],[Window Direction]])</f>
        <v/>
      </c>
      <c r="T20" s="3"/>
      <c r="U20" s="3"/>
      <c r="V20" s="3"/>
      <c r="W20" s="3"/>
      <c r="X20" s="3"/>
      <c r="Y20" s="3"/>
      <c r="Z20" s="3"/>
      <c r="AA20" s="3"/>
      <c r="AB20" s="3"/>
      <c r="AC20" s="3"/>
      <c r="AD20" s="3"/>
      <c r="AE20" s="3"/>
      <c r="AF20" s="3"/>
      <c r="AG20" s="3"/>
      <c r="AH20" s="3"/>
      <c r="AI20" s="3"/>
      <c r="AJ20" s="3"/>
      <c r="AK20" s="3"/>
      <c r="AL20" s="3"/>
      <c r="AM20" s="3"/>
      <c r="AN20" s="3"/>
    </row>
    <row r="21" spans="1:40" x14ac:dyDescent="0.2">
      <c r="A21" s="3"/>
      <c r="B21" s="71">
        <v>17</v>
      </c>
      <c r="C21" s="69" t="str">
        <f>IFERROR(INDEX(Table_WinFilm_Savings[Measure No], MATCH(Table_Controls_Input23[[#This Row],[Measure Lookup Detail]], Table_WinFilm_Savings[Lookup Detail], 0)), "")</f>
        <v/>
      </c>
      <c r="D21" s="61"/>
      <c r="E21" s="60"/>
      <c r="F21" s="69" t="str">
        <f>IFERROR(INDEX(Table_Prescript_Meas[Units], MATCH(Table_Controls_Input23[[#This Row],[Measure Number]], Table_Prescript_Meas[Measure Number], 0)), "")</f>
        <v/>
      </c>
      <c r="G21" s="49"/>
      <c r="H21" s="60"/>
      <c r="I21" s="73"/>
      <c r="J21" s="73"/>
      <c r="K21"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21" s="74" t="str">
        <f>IFERROR(Table_Controls_Input23[[#This Row],[Number of Units (Sq.Ft.)]]*Table_Controls_Input23[[#This Row],[Per-Unit Incentive]], "")</f>
        <v/>
      </c>
      <c r="M21" s="75" t="str">
        <f>IFERROR(Table_Controls_Input23[[#This Row],[Number of Units (Sq.Ft.)]]*INDEX(Table_WinFilm_Savings[Deemed kWh Savings], MATCH(Table_Controls_Input23[[#This Row],[Measure Lookup Detail]], Table_WinFilm_Savings[Lookup Detail], 0)),"" )</f>
        <v/>
      </c>
      <c r="N21" s="81" t="str">
        <f>IFERROR(Table_Controls_Input23[[#This Row],[Number of Units (Sq.Ft.)]]*INDEX(Table_WinFilm_Savings[Deemed kW Savings], MATCH(Table_Controls_Input23[[#This Row],[Measure Lookup Detail]], Table_WinFilm_Savings[Lookup Detail], 0)),"" )</f>
        <v/>
      </c>
      <c r="O21" s="74" t="str">
        <f t="shared" si="0"/>
        <v/>
      </c>
      <c r="P21" s="74" t="str">
        <f>IF(Table_Controls_Input23[[#This Row],[Measure Number]]="", "", Table_Controls_Input23[[#This Row],[Total Equipment Cost]]+Table_Controls_Input23[[#This Row],[Total Labor Cost]])</f>
        <v/>
      </c>
      <c r="Q21" s="74" t="str">
        <f>IFERROR(Table_Controls_Input23[[#This Row],[Gross Measure Cost]]-Table_Controls_Input23[[#This Row],[Estimated Incentive]], "")</f>
        <v/>
      </c>
      <c r="R21" s="75" t="str">
        <f t="shared" si="1"/>
        <v/>
      </c>
      <c r="S21" s="115" t="str">
        <f>_xlfn.CONCAT(Table_Controls_Input23[[#This Row],[Window Film Measure]], Table_Controls_Input23[[#This Row],[Window Direction]])</f>
        <v/>
      </c>
      <c r="T21" s="3"/>
      <c r="U21" s="3"/>
      <c r="V21" s="3"/>
      <c r="W21" s="3"/>
      <c r="X21" s="3"/>
      <c r="Y21" s="3"/>
      <c r="Z21" s="3"/>
      <c r="AA21" s="3"/>
      <c r="AB21" s="3"/>
      <c r="AC21" s="3"/>
      <c r="AD21" s="3"/>
      <c r="AE21" s="3"/>
      <c r="AF21" s="3"/>
      <c r="AG21" s="3"/>
      <c r="AH21" s="3"/>
      <c r="AI21" s="3"/>
      <c r="AJ21" s="3"/>
      <c r="AK21" s="3"/>
      <c r="AL21" s="3"/>
      <c r="AM21" s="3"/>
      <c r="AN21" s="3"/>
    </row>
    <row r="22" spans="1:40" x14ac:dyDescent="0.2">
      <c r="A22" s="3"/>
      <c r="B22" s="71">
        <v>18</v>
      </c>
      <c r="C22" s="69" t="str">
        <f>IFERROR(INDEX(Table_WinFilm_Savings[Measure No], MATCH(Table_Controls_Input23[[#This Row],[Measure Lookup Detail]], Table_WinFilm_Savings[Lookup Detail], 0)), "")</f>
        <v/>
      </c>
      <c r="D22" s="61"/>
      <c r="E22" s="60"/>
      <c r="F22" s="69" t="str">
        <f>IFERROR(INDEX(Table_Prescript_Meas[Units], MATCH(Table_Controls_Input23[[#This Row],[Measure Number]], Table_Prescript_Meas[Measure Number], 0)), "")</f>
        <v/>
      </c>
      <c r="G22" s="49"/>
      <c r="H22" s="60"/>
      <c r="I22" s="73"/>
      <c r="J22" s="73"/>
      <c r="K22"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22" s="74" t="str">
        <f>IFERROR(Table_Controls_Input23[[#This Row],[Number of Units (Sq.Ft.)]]*Table_Controls_Input23[[#This Row],[Per-Unit Incentive]], "")</f>
        <v/>
      </c>
      <c r="M22" s="75" t="str">
        <f>IFERROR(Table_Controls_Input23[[#This Row],[Number of Units (Sq.Ft.)]]*INDEX(Table_WinFilm_Savings[Deemed kWh Savings], MATCH(Table_Controls_Input23[[#This Row],[Measure Lookup Detail]], Table_WinFilm_Savings[Lookup Detail], 0)),"" )</f>
        <v/>
      </c>
      <c r="N22" s="81" t="str">
        <f>IFERROR(Table_Controls_Input23[[#This Row],[Number of Units (Sq.Ft.)]]*INDEX(Table_WinFilm_Savings[Deemed kW Savings], MATCH(Table_Controls_Input23[[#This Row],[Measure Lookup Detail]], Table_WinFilm_Savings[Lookup Detail], 0)),"" )</f>
        <v/>
      </c>
      <c r="O22" s="74" t="str">
        <f t="shared" si="0"/>
        <v/>
      </c>
      <c r="P22" s="74" t="str">
        <f>IF(Table_Controls_Input23[[#This Row],[Measure Number]]="", "", Table_Controls_Input23[[#This Row],[Total Equipment Cost]]+Table_Controls_Input23[[#This Row],[Total Labor Cost]])</f>
        <v/>
      </c>
      <c r="Q22" s="74" t="str">
        <f>IFERROR(Table_Controls_Input23[[#This Row],[Gross Measure Cost]]-Table_Controls_Input23[[#This Row],[Estimated Incentive]], "")</f>
        <v/>
      </c>
      <c r="R22" s="75" t="str">
        <f t="shared" si="1"/>
        <v/>
      </c>
      <c r="S22" s="115" t="str">
        <f>_xlfn.CONCAT(Table_Controls_Input23[[#This Row],[Window Film Measure]], Table_Controls_Input23[[#This Row],[Window Direction]])</f>
        <v/>
      </c>
      <c r="T22" s="3"/>
      <c r="U22" s="3"/>
      <c r="V22" s="3"/>
      <c r="W22" s="3"/>
      <c r="X22" s="3"/>
      <c r="Y22" s="3"/>
      <c r="Z22" s="3"/>
      <c r="AA22" s="3"/>
      <c r="AB22" s="3"/>
      <c r="AC22" s="3"/>
      <c r="AD22" s="3"/>
      <c r="AE22" s="3"/>
      <c r="AF22" s="3"/>
      <c r="AG22" s="3"/>
      <c r="AH22" s="3"/>
      <c r="AI22" s="3"/>
      <c r="AJ22" s="3"/>
      <c r="AK22" s="3"/>
      <c r="AL22" s="3"/>
      <c r="AM22" s="3"/>
      <c r="AN22" s="3"/>
    </row>
    <row r="23" spans="1:40" x14ac:dyDescent="0.2">
      <c r="A23" s="3"/>
      <c r="B23" s="71">
        <v>19</v>
      </c>
      <c r="C23" s="69" t="str">
        <f>IFERROR(INDEX(Table_WinFilm_Savings[Measure No], MATCH(Table_Controls_Input23[[#This Row],[Measure Lookup Detail]], Table_WinFilm_Savings[Lookup Detail], 0)), "")</f>
        <v/>
      </c>
      <c r="D23" s="61"/>
      <c r="E23" s="60"/>
      <c r="F23" s="69" t="str">
        <f>IFERROR(INDEX(Table_Prescript_Meas[Units], MATCH(Table_Controls_Input23[[#This Row],[Measure Number]], Table_Prescript_Meas[Measure Number], 0)), "")</f>
        <v/>
      </c>
      <c r="G23" s="49"/>
      <c r="H23" s="60"/>
      <c r="I23" s="73"/>
      <c r="J23" s="73"/>
      <c r="K23"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23" s="74" t="str">
        <f>IFERROR(Table_Controls_Input23[[#This Row],[Number of Units (Sq.Ft.)]]*Table_Controls_Input23[[#This Row],[Per-Unit Incentive]], "")</f>
        <v/>
      </c>
      <c r="M23" s="75" t="str">
        <f>IFERROR(Table_Controls_Input23[[#This Row],[Number of Units (Sq.Ft.)]]*INDEX(Table_WinFilm_Savings[Deemed kWh Savings], MATCH(Table_Controls_Input23[[#This Row],[Measure Lookup Detail]], Table_WinFilm_Savings[Lookup Detail], 0)),"" )</f>
        <v/>
      </c>
      <c r="N23" s="81" t="str">
        <f>IFERROR(Table_Controls_Input23[[#This Row],[Number of Units (Sq.Ft.)]]*INDEX(Table_WinFilm_Savings[Deemed kW Savings], MATCH(Table_Controls_Input23[[#This Row],[Measure Lookup Detail]], Table_WinFilm_Savings[Lookup Detail], 0)),"" )</f>
        <v/>
      </c>
      <c r="O23" s="74" t="str">
        <f t="shared" si="0"/>
        <v/>
      </c>
      <c r="P23" s="74" t="str">
        <f>IF(Table_Controls_Input23[[#This Row],[Measure Number]]="", "", Table_Controls_Input23[[#This Row],[Total Equipment Cost]]+Table_Controls_Input23[[#This Row],[Total Labor Cost]])</f>
        <v/>
      </c>
      <c r="Q23" s="74" t="str">
        <f>IFERROR(Table_Controls_Input23[[#This Row],[Gross Measure Cost]]-Table_Controls_Input23[[#This Row],[Estimated Incentive]], "")</f>
        <v/>
      </c>
      <c r="R23" s="75" t="str">
        <f t="shared" si="1"/>
        <v/>
      </c>
      <c r="S23" s="115" t="str">
        <f>_xlfn.CONCAT(Table_Controls_Input23[[#This Row],[Window Film Measure]], Table_Controls_Input23[[#This Row],[Window Direction]])</f>
        <v/>
      </c>
      <c r="T23" s="3"/>
      <c r="U23" s="3"/>
      <c r="V23" s="3"/>
      <c r="W23" s="3"/>
      <c r="X23" s="3"/>
      <c r="Y23" s="3"/>
      <c r="Z23" s="3"/>
      <c r="AA23" s="3"/>
      <c r="AB23" s="3"/>
      <c r="AC23" s="3"/>
      <c r="AD23" s="3"/>
      <c r="AE23" s="3"/>
      <c r="AF23" s="3"/>
      <c r="AG23" s="3"/>
      <c r="AH23" s="3"/>
      <c r="AI23" s="3"/>
      <c r="AJ23" s="3"/>
      <c r="AK23" s="3"/>
      <c r="AL23" s="3"/>
      <c r="AM23" s="3"/>
      <c r="AN23" s="3"/>
    </row>
    <row r="24" spans="1:40" x14ac:dyDescent="0.2">
      <c r="A24" s="3"/>
      <c r="B24" s="71">
        <v>20</v>
      </c>
      <c r="C24" s="69" t="str">
        <f>IFERROR(INDEX(Table_WinFilm_Savings[Measure No], MATCH(Table_Controls_Input23[[#This Row],[Measure Lookup Detail]], Table_WinFilm_Savings[Lookup Detail], 0)), "")</f>
        <v/>
      </c>
      <c r="D24" s="61"/>
      <c r="E24" s="60"/>
      <c r="F24" s="69" t="str">
        <f>IFERROR(INDEX(Table_Prescript_Meas[Units], MATCH(Table_Controls_Input23[[#This Row],[Measure Number]], Table_Prescript_Meas[Measure Number], 0)), "")</f>
        <v/>
      </c>
      <c r="G24" s="49"/>
      <c r="H24" s="60"/>
      <c r="I24" s="73"/>
      <c r="J24" s="73"/>
      <c r="K24"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24" s="74" t="str">
        <f>IFERROR(Table_Controls_Input23[[#This Row],[Number of Units (Sq.Ft.)]]*Table_Controls_Input23[[#This Row],[Per-Unit Incentive]], "")</f>
        <v/>
      </c>
      <c r="M24" s="75" t="str">
        <f>IFERROR(Table_Controls_Input23[[#This Row],[Number of Units (Sq.Ft.)]]*INDEX(Table_WinFilm_Savings[Deemed kWh Savings], MATCH(Table_Controls_Input23[[#This Row],[Measure Lookup Detail]], Table_WinFilm_Savings[Lookup Detail], 0)),"" )</f>
        <v/>
      </c>
      <c r="N24" s="81" t="str">
        <f>IFERROR(Table_Controls_Input23[[#This Row],[Number of Units (Sq.Ft.)]]*INDEX(Table_WinFilm_Savings[Deemed kW Savings], MATCH(Table_Controls_Input23[[#This Row],[Measure Lookup Detail]], Table_WinFilm_Savings[Lookup Detail], 0)),"" )</f>
        <v/>
      </c>
      <c r="O24" s="74" t="str">
        <f t="shared" si="0"/>
        <v/>
      </c>
      <c r="P24" s="74" t="str">
        <f>IF(Table_Controls_Input23[[#This Row],[Measure Number]]="", "", Table_Controls_Input23[[#This Row],[Total Equipment Cost]]+Table_Controls_Input23[[#This Row],[Total Labor Cost]])</f>
        <v/>
      </c>
      <c r="Q24" s="74" t="str">
        <f>IFERROR(Table_Controls_Input23[[#This Row],[Gross Measure Cost]]-Table_Controls_Input23[[#This Row],[Estimated Incentive]], "")</f>
        <v/>
      </c>
      <c r="R24" s="75" t="str">
        <f t="shared" si="1"/>
        <v/>
      </c>
      <c r="S24" s="115" t="str">
        <f>_xlfn.CONCAT(Table_Controls_Input23[[#This Row],[Window Film Measure]], Table_Controls_Input23[[#This Row],[Window Direction]])</f>
        <v/>
      </c>
      <c r="T24" s="3"/>
      <c r="U24" s="3"/>
      <c r="V24" s="3"/>
      <c r="W24" s="3"/>
      <c r="X24" s="3"/>
      <c r="Y24" s="3"/>
      <c r="Z24" s="3"/>
      <c r="AA24" s="3"/>
      <c r="AB24" s="3"/>
      <c r="AC24" s="3"/>
      <c r="AD24" s="3"/>
      <c r="AE24" s="3"/>
      <c r="AF24" s="3"/>
      <c r="AG24" s="3"/>
      <c r="AH24" s="3"/>
      <c r="AI24" s="3"/>
      <c r="AJ24" s="3"/>
      <c r="AK24" s="3"/>
      <c r="AL24" s="3"/>
      <c r="AM24" s="3"/>
      <c r="AN24" s="3"/>
    </row>
    <row r="25" spans="1:40" x14ac:dyDescent="0.2">
      <c r="A25" s="3"/>
      <c r="B25" s="71">
        <v>21</v>
      </c>
      <c r="C25" s="69" t="str">
        <f>IFERROR(INDEX(Table_WinFilm_Savings[Measure No], MATCH(Table_Controls_Input23[[#This Row],[Measure Lookup Detail]], Table_WinFilm_Savings[Lookup Detail], 0)), "")</f>
        <v/>
      </c>
      <c r="D25" s="61"/>
      <c r="E25" s="60"/>
      <c r="F25" s="69" t="str">
        <f>IFERROR(INDEX(Table_Prescript_Meas[Units], MATCH(Table_Controls_Input23[[#This Row],[Measure Number]], Table_Prescript_Meas[Measure Number], 0)), "")</f>
        <v/>
      </c>
      <c r="G25" s="49"/>
      <c r="H25" s="60"/>
      <c r="I25" s="73"/>
      <c r="J25" s="73"/>
      <c r="K25"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25" s="74" t="str">
        <f>IFERROR(Table_Controls_Input23[[#This Row],[Number of Units (Sq.Ft.)]]*Table_Controls_Input23[[#This Row],[Per-Unit Incentive]], "")</f>
        <v/>
      </c>
      <c r="M25" s="75" t="str">
        <f>IFERROR(Table_Controls_Input23[[#This Row],[Number of Units (Sq.Ft.)]]*INDEX(Table_WinFilm_Savings[Deemed kWh Savings], MATCH(Table_Controls_Input23[[#This Row],[Measure Lookup Detail]], Table_WinFilm_Savings[Lookup Detail], 0)),"" )</f>
        <v/>
      </c>
      <c r="N25" s="81" t="str">
        <f>IFERROR(Table_Controls_Input23[[#This Row],[Number of Units (Sq.Ft.)]]*INDEX(Table_WinFilm_Savings[Deemed kW Savings], MATCH(Table_Controls_Input23[[#This Row],[Measure Lookup Detail]], Table_WinFilm_Savings[Lookup Detail], 0)),"" )</f>
        <v/>
      </c>
      <c r="O25" s="74" t="str">
        <f t="shared" si="0"/>
        <v/>
      </c>
      <c r="P25" s="74" t="str">
        <f>IF(Table_Controls_Input23[[#This Row],[Measure Number]]="", "", Table_Controls_Input23[[#This Row],[Total Equipment Cost]]+Table_Controls_Input23[[#This Row],[Total Labor Cost]])</f>
        <v/>
      </c>
      <c r="Q25" s="74" t="str">
        <f>IFERROR(Table_Controls_Input23[[#This Row],[Gross Measure Cost]]-Table_Controls_Input23[[#This Row],[Estimated Incentive]], "")</f>
        <v/>
      </c>
      <c r="R25" s="75" t="str">
        <f t="shared" si="1"/>
        <v/>
      </c>
      <c r="S25" s="115" t="str">
        <f>_xlfn.CONCAT(Table_Controls_Input23[[#This Row],[Window Film Measure]], Table_Controls_Input23[[#This Row],[Window Direction]])</f>
        <v/>
      </c>
      <c r="T25" s="3"/>
      <c r="U25" s="3"/>
      <c r="V25" s="3"/>
      <c r="W25" s="3"/>
      <c r="X25" s="3"/>
      <c r="Y25" s="3"/>
      <c r="Z25" s="3"/>
      <c r="AA25" s="3"/>
      <c r="AB25" s="3"/>
      <c r="AC25" s="3"/>
      <c r="AD25" s="3"/>
      <c r="AE25" s="3"/>
      <c r="AF25" s="3"/>
      <c r="AG25" s="3"/>
      <c r="AH25" s="3"/>
      <c r="AI25" s="3"/>
      <c r="AJ25" s="3"/>
      <c r="AK25" s="3"/>
      <c r="AL25" s="3"/>
      <c r="AM25" s="3"/>
      <c r="AN25" s="3"/>
    </row>
    <row r="26" spans="1:40" x14ac:dyDescent="0.2">
      <c r="A26" s="3"/>
      <c r="B26" s="71">
        <v>22</v>
      </c>
      <c r="C26" s="69" t="str">
        <f>IFERROR(INDEX(Table_WinFilm_Savings[Measure No], MATCH(Table_Controls_Input23[[#This Row],[Measure Lookup Detail]], Table_WinFilm_Savings[Lookup Detail], 0)), "")</f>
        <v/>
      </c>
      <c r="D26" s="61"/>
      <c r="E26" s="60"/>
      <c r="F26" s="69" t="str">
        <f>IFERROR(INDEX(Table_Prescript_Meas[Units], MATCH(Table_Controls_Input23[[#This Row],[Measure Number]], Table_Prescript_Meas[Measure Number], 0)), "")</f>
        <v/>
      </c>
      <c r="G26" s="49"/>
      <c r="H26" s="60"/>
      <c r="I26" s="73"/>
      <c r="J26" s="73"/>
      <c r="K26"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26" s="74" t="str">
        <f>IFERROR(Table_Controls_Input23[[#This Row],[Number of Units (Sq.Ft.)]]*Table_Controls_Input23[[#This Row],[Per-Unit Incentive]], "")</f>
        <v/>
      </c>
      <c r="M26" s="75" t="str">
        <f>IFERROR(Table_Controls_Input23[[#This Row],[Number of Units (Sq.Ft.)]]*INDEX(Table_WinFilm_Savings[Deemed kWh Savings], MATCH(Table_Controls_Input23[[#This Row],[Measure Lookup Detail]], Table_WinFilm_Savings[Lookup Detail], 0)),"" )</f>
        <v/>
      </c>
      <c r="N26" s="81" t="str">
        <f>IFERROR(Table_Controls_Input23[[#This Row],[Number of Units (Sq.Ft.)]]*INDEX(Table_WinFilm_Savings[Deemed kW Savings], MATCH(Table_Controls_Input23[[#This Row],[Measure Lookup Detail]], Table_WinFilm_Savings[Lookup Detail], 0)),"" )</f>
        <v/>
      </c>
      <c r="O26" s="74" t="str">
        <f t="shared" si="0"/>
        <v/>
      </c>
      <c r="P26" s="74" t="str">
        <f>IF(Table_Controls_Input23[[#This Row],[Measure Number]]="", "", Table_Controls_Input23[[#This Row],[Total Equipment Cost]]+Table_Controls_Input23[[#This Row],[Total Labor Cost]])</f>
        <v/>
      </c>
      <c r="Q26" s="74" t="str">
        <f>IFERROR(Table_Controls_Input23[[#This Row],[Gross Measure Cost]]-Table_Controls_Input23[[#This Row],[Estimated Incentive]], "")</f>
        <v/>
      </c>
      <c r="R26" s="75" t="str">
        <f t="shared" si="1"/>
        <v/>
      </c>
      <c r="S26" s="115" t="str">
        <f>_xlfn.CONCAT(Table_Controls_Input23[[#This Row],[Window Film Measure]], Table_Controls_Input23[[#This Row],[Window Direction]])</f>
        <v/>
      </c>
      <c r="T26" s="3"/>
      <c r="U26" s="3"/>
      <c r="V26" s="3"/>
      <c r="W26" s="3"/>
      <c r="X26" s="3"/>
      <c r="Y26" s="3"/>
      <c r="Z26" s="3"/>
      <c r="AA26" s="3"/>
      <c r="AB26" s="3"/>
      <c r="AC26" s="3"/>
      <c r="AD26" s="3"/>
      <c r="AE26" s="3"/>
      <c r="AF26" s="3"/>
      <c r="AG26" s="3"/>
      <c r="AH26" s="3"/>
      <c r="AI26" s="3"/>
      <c r="AJ26" s="3"/>
      <c r="AK26" s="3"/>
      <c r="AL26" s="3"/>
      <c r="AM26" s="3"/>
      <c r="AN26" s="3"/>
    </row>
    <row r="27" spans="1:40" x14ac:dyDescent="0.2">
      <c r="A27" s="3"/>
      <c r="B27" s="71">
        <v>23</v>
      </c>
      <c r="C27" s="69" t="str">
        <f>IFERROR(INDEX(Table_WinFilm_Savings[Measure No], MATCH(Table_Controls_Input23[[#This Row],[Measure Lookup Detail]], Table_WinFilm_Savings[Lookup Detail], 0)), "")</f>
        <v/>
      </c>
      <c r="D27" s="61"/>
      <c r="E27" s="60"/>
      <c r="F27" s="69" t="str">
        <f>IFERROR(INDEX(Table_Prescript_Meas[Units], MATCH(Table_Controls_Input23[[#This Row],[Measure Number]], Table_Prescript_Meas[Measure Number], 0)), "")</f>
        <v/>
      </c>
      <c r="G27" s="49"/>
      <c r="H27" s="60"/>
      <c r="I27" s="73"/>
      <c r="J27" s="73"/>
      <c r="K27"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27" s="74" t="str">
        <f>IFERROR(Table_Controls_Input23[[#This Row],[Number of Units (Sq.Ft.)]]*Table_Controls_Input23[[#This Row],[Per-Unit Incentive]], "")</f>
        <v/>
      </c>
      <c r="M27" s="75" t="str">
        <f>IFERROR(Table_Controls_Input23[[#This Row],[Number of Units (Sq.Ft.)]]*INDEX(Table_WinFilm_Savings[Deemed kWh Savings], MATCH(Table_Controls_Input23[[#This Row],[Measure Lookup Detail]], Table_WinFilm_Savings[Lookup Detail], 0)),"" )</f>
        <v/>
      </c>
      <c r="N27" s="81" t="str">
        <f>IFERROR(Table_Controls_Input23[[#This Row],[Number of Units (Sq.Ft.)]]*INDEX(Table_WinFilm_Savings[Deemed kW Savings], MATCH(Table_Controls_Input23[[#This Row],[Measure Lookup Detail]], Table_WinFilm_Savings[Lookup Detail], 0)),"" )</f>
        <v/>
      </c>
      <c r="O27" s="74" t="str">
        <f t="shared" si="0"/>
        <v/>
      </c>
      <c r="P27" s="74" t="str">
        <f>IF(Table_Controls_Input23[[#This Row],[Measure Number]]="", "", Table_Controls_Input23[[#This Row],[Total Equipment Cost]]+Table_Controls_Input23[[#This Row],[Total Labor Cost]])</f>
        <v/>
      </c>
      <c r="Q27" s="74" t="str">
        <f>IFERROR(Table_Controls_Input23[[#This Row],[Gross Measure Cost]]-Table_Controls_Input23[[#This Row],[Estimated Incentive]], "")</f>
        <v/>
      </c>
      <c r="R27" s="75" t="str">
        <f t="shared" si="1"/>
        <v/>
      </c>
      <c r="S27" s="115" t="str">
        <f>_xlfn.CONCAT(Table_Controls_Input23[[#This Row],[Window Film Measure]], Table_Controls_Input23[[#This Row],[Window Direction]])</f>
        <v/>
      </c>
      <c r="T27" s="3"/>
      <c r="U27" s="3"/>
      <c r="V27" s="3"/>
      <c r="W27" s="3"/>
      <c r="X27" s="3"/>
      <c r="Y27" s="3"/>
      <c r="Z27" s="3"/>
      <c r="AA27" s="3"/>
      <c r="AB27" s="3"/>
      <c r="AC27" s="3"/>
      <c r="AD27" s="3"/>
      <c r="AE27" s="3"/>
      <c r="AF27" s="3"/>
      <c r="AG27" s="3"/>
      <c r="AH27" s="3"/>
      <c r="AI27" s="3"/>
      <c r="AJ27" s="3"/>
      <c r="AK27" s="3"/>
      <c r="AL27" s="3"/>
      <c r="AM27" s="3"/>
      <c r="AN27" s="3"/>
    </row>
    <row r="28" spans="1:40" x14ac:dyDescent="0.2">
      <c r="A28" s="3"/>
      <c r="B28" s="71">
        <v>24</v>
      </c>
      <c r="C28" s="69" t="str">
        <f>IFERROR(INDEX(Table_WinFilm_Savings[Measure No], MATCH(Table_Controls_Input23[[#This Row],[Measure Lookup Detail]], Table_WinFilm_Savings[Lookup Detail], 0)), "")</f>
        <v/>
      </c>
      <c r="D28" s="61"/>
      <c r="E28" s="60"/>
      <c r="F28" s="69" t="str">
        <f>IFERROR(INDEX(Table_Prescript_Meas[Units], MATCH(Table_Controls_Input23[[#This Row],[Measure Number]], Table_Prescript_Meas[Measure Number], 0)), "")</f>
        <v/>
      </c>
      <c r="G28" s="49"/>
      <c r="H28" s="60"/>
      <c r="I28" s="73"/>
      <c r="J28" s="73"/>
      <c r="K28"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28" s="74" t="str">
        <f>IFERROR(Table_Controls_Input23[[#This Row],[Number of Units (Sq.Ft.)]]*Table_Controls_Input23[[#This Row],[Per-Unit Incentive]], "")</f>
        <v/>
      </c>
      <c r="M28" s="75" t="str">
        <f>IFERROR(Table_Controls_Input23[[#This Row],[Number of Units (Sq.Ft.)]]*INDEX(Table_WinFilm_Savings[Deemed kWh Savings], MATCH(Table_Controls_Input23[[#This Row],[Measure Lookup Detail]], Table_WinFilm_Savings[Lookup Detail], 0)),"" )</f>
        <v/>
      </c>
      <c r="N28" s="81" t="str">
        <f>IFERROR(Table_Controls_Input23[[#This Row],[Number of Units (Sq.Ft.)]]*INDEX(Table_WinFilm_Savings[Deemed kW Savings], MATCH(Table_Controls_Input23[[#This Row],[Measure Lookup Detail]], Table_WinFilm_Savings[Lookup Detail], 0)),"" )</f>
        <v/>
      </c>
      <c r="O28" s="74" t="str">
        <f t="shared" si="0"/>
        <v/>
      </c>
      <c r="P28" s="74" t="str">
        <f>IF(Table_Controls_Input23[[#This Row],[Measure Number]]="", "", Table_Controls_Input23[[#This Row],[Total Equipment Cost]]+Table_Controls_Input23[[#This Row],[Total Labor Cost]])</f>
        <v/>
      </c>
      <c r="Q28" s="74" t="str">
        <f>IFERROR(Table_Controls_Input23[[#This Row],[Gross Measure Cost]]-Table_Controls_Input23[[#This Row],[Estimated Incentive]], "")</f>
        <v/>
      </c>
      <c r="R28" s="75" t="str">
        <f t="shared" si="1"/>
        <v/>
      </c>
      <c r="S28" s="115" t="str">
        <f>_xlfn.CONCAT(Table_Controls_Input23[[#This Row],[Window Film Measure]], Table_Controls_Input23[[#This Row],[Window Direction]])</f>
        <v/>
      </c>
      <c r="T28" s="3"/>
      <c r="U28" s="3"/>
      <c r="V28" s="3"/>
      <c r="W28" s="3"/>
      <c r="X28" s="3"/>
      <c r="Y28" s="3"/>
      <c r="Z28" s="3"/>
      <c r="AA28" s="3"/>
      <c r="AB28" s="3"/>
      <c r="AC28" s="3"/>
      <c r="AD28" s="3"/>
      <c r="AE28" s="3"/>
      <c r="AF28" s="3"/>
      <c r="AG28" s="3"/>
      <c r="AH28" s="3"/>
      <c r="AI28" s="3"/>
      <c r="AJ28" s="3"/>
      <c r="AK28" s="3"/>
      <c r="AL28" s="3"/>
      <c r="AM28" s="3"/>
      <c r="AN28" s="3"/>
    </row>
    <row r="29" spans="1:40" x14ac:dyDescent="0.2">
      <c r="A29" s="3"/>
      <c r="B29" s="71">
        <v>25</v>
      </c>
      <c r="C29" s="69" t="str">
        <f>IFERROR(INDEX(Table_WinFilm_Savings[Measure No], MATCH(Table_Controls_Input23[[#This Row],[Measure Lookup Detail]], Table_WinFilm_Savings[Lookup Detail], 0)), "")</f>
        <v/>
      </c>
      <c r="D29" s="61"/>
      <c r="E29" s="60"/>
      <c r="F29" s="69" t="str">
        <f>IFERROR(INDEX(Table_Prescript_Meas[Units], MATCH(Table_Controls_Input23[[#This Row],[Measure Number]], Table_Prescript_Meas[Measure Number], 0)), "")</f>
        <v/>
      </c>
      <c r="G29" s="49"/>
      <c r="H29" s="60"/>
      <c r="I29" s="73"/>
      <c r="J29" s="73"/>
      <c r="K29"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29" s="74" t="str">
        <f>IFERROR(Table_Controls_Input23[[#This Row],[Number of Units (Sq.Ft.)]]*Table_Controls_Input23[[#This Row],[Per-Unit Incentive]], "")</f>
        <v/>
      </c>
      <c r="M29" s="75" t="str">
        <f>IFERROR(Table_Controls_Input23[[#This Row],[Number of Units (Sq.Ft.)]]*INDEX(Table_WinFilm_Savings[Deemed kWh Savings], MATCH(Table_Controls_Input23[[#This Row],[Measure Lookup Detail]], Table_WinFilm_Savings[Lookup Detail], 0)),"" )</f>
        <v/>
      </c>
      <c r="N29" s="81" t="str">
        <f>IFERROR(Table_Controls_Input23[[#This Row],[Number of Units (Sq.Ft.)]]*INDEX(Table_WinFilm_Savings[Deemed kW Savings], MATCH(Table_Controls_Input23[[#This Row],[Measure Lookup Detail]], Table_WinFilm_Savings[Lookup Detail], 0)),"" )</f>
        <v/>
      </c>
      <c r="O29" s="74" t="str">
        <f t="shared" si="0"/>
        <v/>
      </c>
      <c r="P29" s="74" t="str">
        <f>IF(Table_Controls_Input23[[#This Row],[Measure Number]]="", "", Table_Controls_Input23[[#This Row],[Total Equipment Cost]]+Table_Controls_Input23[[#This Row],[Total Labor Cost]])</f>
        <v/>
      </c>
      <c r="Q29" s="74" t="str">
        <f>IFERROR(Table_Controls_Input23[[#This Row],[Gross Measure Cost]]-Table_Controls_Input23[[#This Row],[Estimated Incentive]], "")</f>
        <v/>
      </c>
      <c r="R29" s="75" t="str">
        <f t="shared" si="1"/>
        <v/>
      </c>
      <c r="S29" s="115" t="str">
        <f>_xlfn.CONCAT(Table_Controls_Input23[[#This Row],[Window Film Measure]], Table_Controls_Input23[[#This Row],[Window Direction]])</f>
        <v/>
      </c>
      <c r="T29" s="3"/>
      <c r="U29" s="3"/>
      <c r="V29" s="3"/>
      <c r="W29" s="3"/>
      <c r="X29" s="3"/>
      <c r="Y29" s="3"/>
      <c r="Z29" s="3"/>
      <c r="AA29" s="3"/>
      <c r="AB29" s="3"/>
      <c r="AC29" s="3"/>
      <c r="AD29" s="3"/>
      <c r="AE29" s="3"/>
      <c r="AF29" s="3"/>
      <c r="AG29" s="3"/>
      <c r="AH29" s="3"/>
      <c r="AI29" s="3"/>
      <c r="AJ29" s="3"/>
      <c r="AK29" s="3"/>
      <c r="AL29" s="3"/>
      <c r="AM29" s="3"/>
      <c r="AN29" s="3"/>
    </row>
    <row r="30" spans="1:40" x14ac:dyDescent="0.2">
      <c r="A30" s="3"/>
      <c r="B30" s="71">
        <v>26</v>
      </c>
      <c r="C30" s="69" t="str">
        <f>IFERROR(INDEX(Table_WinFilm_Savings[Measure No], MATCH(Table_Controls_Input23[[#This Row],[Measure Lookup Detail]], Table_WinFilm_Savings[Lookup Detail], 0)), "")</f>
        <v/>
      </c>
      <c r="D30" s="61"/>
      <c r="E30" s="60"/>
      <c r="F30" s="69" t="str">
        <f>IFERROR(INDEX(Table_Prescript_Meas[Units], MATCH(Table_Controls_Input23[[#This Row],[Measure Number]], Table_Prescript_Meas[Measure Number], 0)), "")</f>
        <v/>
      </c>
      <c r="G30" s="49"/>
      <c r="H30" s="60"/>
      <c r="I30" s="73"/>
      <c r="J30" s="73"/>
      <c r="K30"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30" s="74" t="str">
        <f>IFERROR(Table_Controls_Input23[[#This Row],[Number of Units (Sq.Ft.)]]*Table_Controls_Input23[[#This Row],[Per-Unit Incentive]], "")</f>
        <v/>
      </c>
      <c r="M30" s="75" t="str">
        <f>IFERROR(Table_Controls_Input23[[#This Row],[Number of Units (Sq.Ft.)]]*INDEX(Table_WinFilm_Savings[Deemed kWh Savings], MATCH(Table_Controls_Input23[[#This Row],[Measure Lookup Detail]], Table_WinFilm_Savings[Lookup Detail], 0)),"" )</f>
        <v/>
      </c>
      <c r="N30" s="81" t="str">
        <f>IFERROR(Table_Controls_Input23[[#This Row],[Number of Units (Sq.Ft.)]]*INDEX(Table_WinFilm_Savings[Deemed kW Savings], MATCH(Table_Controls_Input23[[#This Row],[Measure Lookup Detail]], Table_WinFilm_Savings[Lookup Detail], 0)),"" )</f>
        <v/>
      </c>
      <c r="O30" s="74" t="str">
        <f t="shared" si="0"/>
        <v/>
      </c>
      <c r="P30" s="74" t="str">
        <f>IF(Table_Controls_Input23[[#This Row],[Measure Number]]="", "", Table_Controls_Input23[[#This Row],[Total Equipment Cost]]+Table_Controls_Input23[[#This Row],[Total Labor Cost]])</f>
        <v/>
      </c>
      <c r="Q30" s="74" t="str">
        <f>IFERROR(Table_Controls_Input23[[#This Row],[Gross Measure Cost]]-Table_Controls_Input23[[#This Row],[Estimated Incentive]], "")</f>
        <v/>
      </c>
      <c r="R30" s="75" t="str">
        <f t="shared" si="1"/>
        <v/>
      </c>
      <c r="S30" s="115" t="str">
        <f>_xlfn.CONCAT(Table_Controls_Input23[[#This Row],[Window Film Measure]], Table_Controls_Input23[[#This Row],[Window Direction]])</f>
        <v/>
      </c>
      <c r="T30" s="3"/>
      <c r="U30" s="3"/>
      <c r="V30" s="3"/>
      <c r="W30" s="3"/>
      <c r="X30" s="3"/>
      <c r="Y30" s="3"/>
      <c r="Z30" s="3"/>
      <c r="AA30" s="3"/>
      <c r="AB30" s="3"/>
      <c r="AC30" s="3"/>
      <c r="AD30" s="3"/>
      <c r="AE30" s="3"/>
      <c r="AF30" s="3"/>
      <c r="AG30" s="3"/>
      <c r="AH30" s="3"/>
      <c r="AI30" s="3"/>
      <c r="AJ30" s="3"/>
      <c r="AK30" s="3"/>
      <c r="AL30" s="3"/>
      <c r="AM30" s="3"/>
      <c r="AN30" s="3"/>
    </row>
    <row r="31" spans="1:40" x14ac:dyDescent="0.2">
      <c r="A31" s="4"/>
      <c r="B31" s="71">
        <v>27</v>
      </c>
      <c r="C31" s="69" t="str">
        <f>IFERROR(INDEX(Table_WinFilm_Savings[Measure No], MATCH(Table_Controls_Input23[[#This Row],[Measure Lookup Detail]], Table_WinFilm_Savings[Lookup Detail], 0)), "")</f>
        <v/>
      </c>
      <c r="D31" s="61"/>
      <c r="E31" s="60"/>
      <c r="F31" s="69" t="str">
        <f>IFERROR(INDEX(Table_Prescript_Meas[Units], MATCH(Table_Controls_Input23[[#This Row],[Measure Number]], Table_Prescript_Meas[Measure Number], 0)), "")</f>
        <v/>
      </c>
      <c r="G31" s="49"/>
      <c r="H31" s="60"/>
      <c r="I31" s="73"/>
      <c r="J31" s="73"/>
      <c r="K31"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31" s="74" t="str">
        <f>IFERROR(Table_Controls_Input23[[#This Row],[Number of Units (Sq.Ft.)]]*Table_Controls_Input23[[#This Row],[Per-Unit Incentive]], "")</f>
        <v/>
      </c>
      <c r="M31" s="75" t="str">
        <f>IFERROR(Table_Controls_Input23[[#This Row],[Number of Units (Sq.Ft.)]]*INDEX(Table_WinFilm_Savings[Deemed kWh Savings], MATCH(Table_Controls_Input23[[#This Row],[Measure Lookup Detail]], Table_WinFilm_Savings[Lookup Detail], 0)),"" )</f>
        <v/>
      </c>
      <c r="N31" s="81" t="str">
        <f>IFERROR(Table_Controls_Input23[[#This Row],[Number of Units (Sq.Ft.)]]*INDEX(Table_WinFilm_Savings[Deemed kW Savings], MATCH(Table_Controls_Input23[[#This Row],[Measure Lookup Detail]], Table_WinFilm_Savings[Lookup Detail], 0)),"" )</f>
        <v/>
      </c>
      <c r="O31" s="74" t="str">
        <f t="shared" si="0"/>
        <v/>
      </c>
      <c r="P31" s="74" t="str">
        <f>IF(Table_Controls_Input23[[#This Row],[Measure Number]]="", "", Table_Controls_Input23[[#This Row],[Total Equipment Cost]]+Table_Controls_Input23[[#This Row],[Total Labor Cost]])</f>
        <v/>
      </c>
      <c r="Q31" s="74" t="str">
        <f>IFERROR(Table_Controls_Input23[[#This Row],[Gross Measure Cost]]-Table_Controls_Input23[[#This Row],[Estimated Incentive]], "")</f>
        <v/>
      </c>
      <c r="R31" s="75" t="str">
        <f t="shared" si="1"/>
        <v/>
      </c>
      <c r="S31" s="115" t="str">
        <f>_xlfn.CONCAT(Table_Controls_Input23[[#This Row],[Window Film Measure]], Table_Controls_Input23[[#This Row],[Window Direction]])</f>
        <v/>
      </c>
      <c r="T31" s="4"/>
      <c r="U31" s="4"/>
      <c r="V31" s="4"/>
      <c r="W31" s="4"/>
      <c r="X31" s="4"/>
      <c r="Y31" s="4"/>
      <c r="Z31" s="4"/>
      <c r="AA31" s="4"/>
      <c r="AB31" s="4"/>
      <c r="AC31" s="4"/>
      <c r="AD31" s="4"/>
      <c r="AE31" s="4"/>
      <c r="AF31" s="4"/>
      <c r="AG31" s="4"/>
      <c r="AH31" s="4"/>
      <c r="AI31" s="4"/>
      <c r="AJ31" s="4"/>
      <c r="AK31" s="4"/>
      <c r="AL31" s="4"/>
      <c r="AM31" s="4"/>
      <c r="AN31" s="4"/>
    </row>
    <row r="32" spans="1:40" x14ac:dyDescent="0.2">
      <c r="A32" s="4"/>
      <c r="B32" s="71">
        <v>28</v>
      </c>
      <c r="C32" s="69" t="str">
        <f>IFERROR(INDEX(Table_WinFilm_Savings[Measure No], MATCH(Table_Controls_Input23[[#This Row],[Measure Lookup Detail]], Table_WinFilm_Savings[Lookup Detail], 0)), "")</f>
        <v/>
      </c>
      <c r="D32" s="61"/>
      <c r="E32" s="60"/>
      <c r="F32" s="69" t="str">
        <f>IFERROR(INDEX(Table_Prescript_Meas[Units], MATCH(Table_Controls_Input23[[#This Row],[Measure Number]], Table_Prescript_Meas[Measure Number], 0)), "")</f>
        <v/>
      </c>
      <c r="G32" s="49"/>
      <c r="H32" s="60"/>
      <c r="I32" s="73"/>
      <c r="J32" s="73"/>
      <c r="K32"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32" s="74" t="str">
        <f>IFERROR(Table_Controls_Input23[[#This Row],[Number of Units (Sq.Ft.)]]*Table_Controls_Input23[[#This Row],[Per-Unit Incentive]], "")</f>
        <v/>
      </c>
      <c r="M32" s="75" t="str">
        <f>IFERROR(Table_Controls_Input23[[#This Row],[Number of Units (Sq.Ft.)]]*INDEX(Table_WinFilm_Savings[Deemed kWh Savings], MATCH(Table_Controls_Input23[[#This Row],[Measure Lookup Detail]], Table_WinFilm_Savings[Lookup Detail], 0)),"" )</f>
        <v/>
      </c>
      <c r="N32" s="81" t="str">
        <f>IFERROR(Table_Controls_Input23[[#This Row],[Number of Units (Sq.Ft.)]]*INDEX(Table_WinFilm_Savings[Deemed kW Savings], MATCH(Table_Controls_Input23[[#This Row],[Measure Lookup Detail]], Table_WinFilm_Savings[Lookup Detail], 0)),"" )</f>
        <v/>
      </c>
      <c r="O32" s="74" t="str">
        <f t="shared" si="0"/>
        <v/>
      </c>
      <c r="P32" s="74" t="str">
        <f>IF(Table_Controls_Input23[[#This Row],[Measure Number]]="", "", Table_Controls_Input23[[#This Row],[Total Equipment Cost]]+Table_Controls_Input23[[#This Row],[Total Labor Cost]])</f>
        <v/>
      </c>
      <c r="Q32" s="74" t="str">
        <f>IFERROR(Table_Controls_Input23[[#This Row],[Gross Measure Cost]]-Table_Controls_Input23[[#This Row],[Estimated Incentive]], "")</f>
        <v/>
      </c>
      <c r="R32" s="75" t="str">
        <f t="shared" si="1"/>
        <v/>
      </c>
      <c r="S32" s="115" t="str">
        <f>_xlfn.CONCAT(Table_Controls_Input23[[#This Row],[Window Film Measure]], Table_Controls_Input23[[#This Row],[Window Direction]])</f>
        <v/>
      </c>
      <c r="T32" s="4"/>
      <c r="U32" s="4"/>
      <c r="V32" s="4"/>
      <c r="W32" s="4"/>
      <c r="X32" s="4"/>
      <c r="Y32" s="4"/>
      <c r="Z32" s="4"/>
      <c r="AA32" s="4"/>
      <c r="AB32" s="4"/>
      <c r="AC32" s="4"/>
      <c r="AD32" s="4"/>
      <c r="AE32" s="4"/>
      <c r="AF32" s="4"/>
      <c r="AG32" s="4"/>
      <c r="AH32" s="4"/>
      <c r="AI32" s="4"/>
      <c r="AJ32" s="4"/>
      <c r="AK32" s="4"/>
      <c r="AL32" s="4"/>
      <c r="AM32" s="4"/>
      <c r="AN32" s="4"/>
    </row>
    <row r="33" spans="1:40" x14ac:dyDescent="0.2">
      <c r="A33" s="4"/>
      <c r="B33" s="71">
        <v>29</v>
      </c>
      <c r="C33" s="69" t="str">
        <f>IFERROR(INDEX(Table_WinFilm_Savings[Measure No], MATCH(Table_Controls_Input23[[#This Row],[Measure Lookup Detail]], Table_WinFilm_Savings[Lookup Detail], 0)), "")</f>
        <v/>
      </c>
      <c r="D33" s="61"/>
      <c r="E33" s="60"/>
      <c r="F33" s="69" t="str">
        <f>IFERROR(INDEX(Table_Prescript_Meas[Units], MATCH(Table_Controls_Input23[[#This Row],[Measure Number]], Table_Prescript_Meas[Measure Number], 0)), "")</f>
        <v/>
      </c>
      <c r="G33" s="49"/>
      <c r="H33" s="60"/>
      <c r="I33" s="73"/>
      <c r="J33" s="73"/>
      <c r="K33"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33" s="74" t="str">
        <f>IFERROR(Table_Controls_Input23[[#This Row],[Number of Units (Sq.Ft.)]]*Table_Controls_Input23[[#This Row],[Per-Unit Incentive]], "")</f>
        <v/>
      </c>
      <c r="M33" s="75" t="str">
        <f>IFERROR(Table_Controls_Input23[[#This Row],[Number of Units (Sq.Ft.)]]*INDEX(Table_WinFilm_Savings[Deemed kWh Savings], MATCH(Table_Controls_Input23[[#This Row],[Measure Lookup Detail]], Table_WinFilm_Savings[Lookup Detail], 0)),"" )</f>
        <v/>
      </c>
      <c r="N33" s="81" t="str">
        <f>IFERROR(Table_Controls_Input23[[#This Row],[Number of Units (Sq.Ft.)]]*INDEX(Table_WinFilm_Savings[Deemed kW Savings], MATCH(Table_Controls_Input23[[#This Row],[Measure Lookup Detail]], Table_WinFilm_Savings[Lookup Detail], 0)),"" )</f>
        <v/>
      </c>
      <c r="O33" s="74" t="str">
        <f t="shared" si="0"/>
        <v/>
      </c>
      <c r="P33" s="74" t="str">
        <f>IF(Table_Controls_Input23[[#This Row],[Measure Number]]="", "", Table_Controls_Input23[[#This Row],[Total Equipment Cost]]+Table_Controls_Input23[[#This Row],[Total Labor Cost]])</f>
        <v/>
      </c>
      <c r="Q33" s="74" t="str">
        <f>IFERROR(Table_Controls_Input23[[#This Row],[Gross Measure Cost]]-Table_Controls_Input23[[#This Row],[Estimated Incentive]], "")</f>
        <v/>
      </c>
      <c r="R33" s="75" t="str">
        <f t="shared" si="1"/>
        <v/>
      </c>
      <c r="S33" s="115" t="str">
        <f>_xlfn.CONCAT(Table_Controls_Input23[[#This Row],[Window Film Measure]], Table_Controls_Input23[[#This Row],[Window Direction]])</f>
        <v/>
      </c>
      <c r="T33" s="4"/>
      <c r="U33" s="4"/>
      <c r="V33" s="4"/>
      <c r="W33" s="4"/>
      <c r="X33" s="4"/>
      <c r="Y33" s="4"/>
      <c r="Z33" s="4"/>
      <c r="AA33" s="4"/>
      <c r="AB33" s="4"/>
      <c r="AC33" s="4"/>
      <c r="AD33" s="4"/>
      <c r="AE33" s="4"/>
      <c r="AF33" s="4"/>
      <c r="AG33" s="4"/>
      <c r="AH33" s="4"/>
      <c r="AI33" s="4"/>
      <c r="AJ33" s="4"/>
      <c r="AK33" s="4"/>
      <c r="AL33" s="4"/>
      <c r="AM33" s="4"/>
      <c r="AN33" s="4"/>
    </row>
    <row r="34" spans="1:40" x14ac:dyDescent="0.2">
      <c r="A34" s="4"/>
      <c r="B34" s="71">
        <v>30</v>
      </c>
      <c r="C34" s="69" t="str">
        <f>IFERROR(INDEX(Table_WinFilm_Savings[Measure No], MATCH(Table_Controls_Input23[[#This Row],[Measure Lookup Detail]], Table_WinFilm_Savings[Lookup Detail], 0)), "")</f>
        <v/>
      </c>
      <c r="D34" s="61"/>
      <c r="E34" s="60"/>
      <c r="F34" s="69" t="str">
        <f>IFERROR(INDEX(Table_Prescript_Meas[Units], MATCH(Table_Controls_Input23[[#This Row],[Measure Number]], Table_Prescript_Meas[Measure Number], 0)), "")</f>
        <v/>
      </c>
      <c r="G34" s="49"/>
      <c r="H34" s="60"/>
      <c r="I34" s="73"/>
      <c r="J34" s="73"/>
      <c r="K34" s="74" t="str">
        <f>IFERROR(IF(Input_ProgramType=References!$W$4, INDEX(Table_Prescript_Meas[Incentive - SC], MATCH(Table_Controls_Input23[[#This Row],[Measure Number]], Table_Prescript_Meas[Measure Number], 0)), INDEX(Table_Prescript_Meas[Incentive - LC], MATCH(Table_Controls_Input23[[#This Row],[Measure Number]], Table_Prescript_Meas[Measure Number], 0))), "")</f>
        <v/>
      </c>
      <c r="L34" s="74" t="str">
        <f>IFERROR(Table_Controls_Input23[[#This Row],[Number of Units (Sq.Ft.)]]*Table_Controls_Input23[[#This Row],[Per-Unit Incentive]], "")</f>
        <v/>
      </c>
      <c r="M34" s="75" t="str">
        <f>IFERROR(Table_Controls_Input23[[#This Row],[Number of Units (Sq.Ft.)]]*INDEX(Table_WinFilm_Savings[Deemed kWh Savings], MATCH(Table_Controls_Input23[[#This Row],[Measure Lookup Detail]], Table_WinFilm_Savings[Lookup Detail], 0)),"" )</f>
        <v/>
      </c>
      <c r="N34" s="81" t="str">
        <f>IFERROR(Table_Controls_Input23[[#This Row],[Number of Units (Sq.Ft.)]]*INDEX(Table_WinFilm_Savings[Deemed kW Savings], MATCH(Table_Controls_Input23[[#This Row],[Measure Lookup Detail]], Table_WinFilm_Savings[Lookup Detail], 0)),"" )</f>
        <v/>
      </c>
      <c r="O34" s="74" t="str">
        <f t="shared" si="0"/>
        <v/>
      </c>
      <c r="P34" s="74" t="str">
        <f>IF(Table_Controls_Input23[[#This Row],[Measure Number]]="", "", Table_Controls_Input23[[#This Row],[Total Equipment Cost]]+Table_Controls_Input23[[#This Row],[Total Labor Cost]])</f>
        <v/>
      </c>
      <c r="Q34" s="74" t="str">
        <f>IFERROR(Table_Controls_Input23[[#This Row],[Gross Measure Cost]]-Table_Controls_Input23[[#This Row],[Estimated Incentive]], "")</f>
        <v/>
      </c>
      <c r="R34" s="75" t="str">
        <f t="shared" si="1"/>
        <v/>
      </c>
      <c r="S34" s="115" t="str">
        <f>_xlfn.CONCAT(Table_Controls_Input23[[#This Row],[Window Film Measure]], Table_Controls_Input23[[#This Row],[Window Direction]])</f>
        <v/>
      </c>
      <c r="T34" s="4"/>
      <c r="U34" s="4"/>
      <c r="V34" s="4"/>
      <c r="W34" s="4"/>
      <c r="X34" s="4"/>
      <c r="Y34" s="4"/>
      <c r="Z34" s="4"/>
      <c r="AA34" s="4"/>
      <c r="AB34" s="4"/>
      <c r="AC34" s="4"/>
      <c r="AD34" s="4"/>
      <c r="AE34" s="4"/>
      <c r="AF34" s="4"/>
      <c r="AG34" s="4"/>
      <c r="AH34" s="4"/>
      <c r="AI34" s="4"/>
      <c r="AJ34" s="4"/>
      <c r="AK34" s="4"/>
      <c r="AL34" s="4"/>
      <c r="AM34" s="4"/>
      <c r="AN34" s="4"/>
    </row>
    <row r="35" spans="1:40" x14ac:dyDescent="0.2">
      <c r="A35" s="4"/>
      <c r="S35" s="113"/>
      <c r="T35" s="4"/>
      <c r="U35" s="4"/>
      <c r="V35" s="4"/>
      <c r="W35" s="4"/>
      <c r="X35" s="4"/>
      <c r="Y35" s="4"/>
      <c r="Z35" s="4"/>
      <c r="AA35" s="4"/>
      <c r="AB35" s="4"/>
      <c r="AC35" s="4"/>
      <c r="AD35" s="4"/>
      <c r="AE35" s="4"/>
      <c r="AF35" s="4"/>
      <c r="AG35" s="4"/>
      <c r="AH35" s="4"/>
      <c r="AI35" s="4"/>
      <c r="AJ35" s="4"/>
      <c r="AK35" s="4"/>
      <c r="AL35" s="4"/>
      <c r="AM35" s="4"/>
      <c r="AN35" s="4"/>
    </row>
    <row r="36" spans="1:40" x14ac:dyDescent="0.2">
      <c r="S36"/>
    </row>
    <row r="37" spans="1:40" x14ac:dyDescent="0.2">
      <c r="B37" t="s">
        <v>11</v>
      </c>
      <c r="S37"/>
    </row>
    <row r="38" spans="1:40" x14ac:dyDescent="0.2">
      <c r="B38" t="str">
        <f>Value_Application_Version</f>
        <v>Version 3.1</v>
      </c>
      <c r="S38"/>
    </row>
    <row r="39" spans="1:40" x14ac:dyDescent="0.2">
      <c r="S39"/>
    </row>
    <row r="40" spans="1:40" x14ac:dyDescent="0.2">
      <c r="A40" s="4"/>
      <c r="S40" s="113"/>
      <c r="T40" s="4"/>
      <c r="U40" s="4"/>
      <c r="V40" s="4"/>
      <c r="W40" s="4"/>
      <c r="X40" s="4"/>
      <c r="Y40" s="4"/>
      <c r="Z40" s="4"/>
      <c r="AA40" s="4"/>
      <c r="AB40" s="4"/>
      <c r="AC40" s="4"/>
      <c r="AD40" s="4"/>
      <c r="AE40" s="4"/>
      <c r="AF40" s="4"/>
      <c r="AG40" s="4"/>
      <c r="AH40" s="4"/>
      <c r="AI40" s="4"/>
      <c r="AJ40" s="4"/>
      <c r="AK40" s="4"/>
      <c r="AL40" s="4"/>
      <c r="AM40" s="4"/>
      <c r="AN40" s="4"/>
    </row>
    <row r="41" spans="1:40" x14ac:dyDescent="0.2">
      <c r="A41" s="4"/>
      <c r="S41" s="113"/>
      <c r="T41" s="4"/>
      <c r="U41" s="4"/>
      <c r="V41" s="4"/>
      <c r="W41" s="4"/>
      <c r="X41" s="4"/>
      <c r="Y41" s="4"/>
      <c r="Z41" s="4"/>
      <c r="AA41" s="4"/>
      <c r="AB41" s="4"/>
      <c r="AC41" s="4"/>
      <c r="AD41" s="4"/>
      <c r="AE41" s="4"/>
      <c r="AF41" s="4"/>
      <c r="AG41" s="4"/>
      <c r="AH41" s="4"/>
      <c r="AI41" s="4"/>
      <c r="AJ41" s="4"/>
      <c r="AK41" s="4"/>
      <c r="AL41" s="4"/>
      <c r="AM41" s="4"/>
      <c r="AN41" s="4"/>
    </row>
    <row r="42" spans="1:40" x14ac:dyDescent="0.2">
      <c r="A42" s="4"/>
      <c r="S42" s="113"/>
      <c r="T42" s="4"/>
      <c r="U42" s="4"/>
      <c r="V42" s="4"/>
      <c r="W42" s="4"/>
      <c r="X42" s="4"/>
      <c r="Y42" s="4"/>
      <c r="Z42" s="4"/>
      <c r="AA42" s="4"/>
      <c r="AB42" s="4"/>
      <c r="AC42" s="4"/>
      <c r="AD42" s="4"/>
      <c r="AE42" s="4"/>
      <c r="AF42" s="4"/>
      <c r="AG42" s="4"/>
      <c r="AH42" s="4"/>
      <c r="AI42" s="4"/>
      <c r="AJ42" s="4"/>
      <c r="AK42" s="4"/>
      <c r="AL42" s="4"/>
      <c r="AM42" s="4"/>
      <c r="AN42" s="4"/>
    </row>
    <row r="43" spans="1:40" x14ac:dyDescent="0.2">
      <c r="A43" s="4"/>
      <c r="S43" s="113"/>
      <c r="T43" s="4"/>
      <c r="U43" s="4"/>
      <c r="V43" s="4"/>
      <c r="W43" s="4"/>
      <c r="X43" s="4"/>
      <c r="Y43" s="4"/>
      <c r="Z43" s="4"/>
      <c r="AA43" s="4"/>
      <c r="AB43" s="4"/>
      <c r="AC43" s="4"/>
      <c r="AD43" s="4"/>
      <c r="AE43" s="4"/>
      <c r="AF43" s="4"/>
      <c r="AG43" s="4"/>
      <c r="AH43" s="4"/>
      <c r="AI43" s="4"/>
      <c r="AJ43" s="4"/>
      <c r="AK43" s="4"/>
      <c r="AL43" s="4"/>
      <c r="AM43" s="4"/>
      <c r="AN43" s="4"/>
    </row>
    <row r="44" spans="1:40" x14ac:dyDescent="0.2">
      <c r="A44" s="4"/>
      <c r="S44" s="113"/>
      <c r="T44" s="4"/>
      <c r="U44" s="4"/>
      <c r="V44" s="4"/>
      <c r="W44" s="4"/>
      <c r="X44" s="4"/>
      <c r="Y44" s="4"/>
      <c r="Z44" s="4"/>
      <c r="AA44" s="4"/>
      <c r="AB44" s="4"/>
      <c r="AC44" s="4"/>
      <c r="AD44" s="4"/>
      <c r="AE44" s="4"/>
      <c r="AF44" s="4"/>
      <c r="AG44" s="4"/>
      <c r="AH44" s="4"/>
      <c r="AI44" s="4"/>
      <c r="AJ44" s="4"/>
      <c r="AK44" s="4"/>
      <c r="AL44" s="4"/>
      <c r="AM44" s="4"/>
      <c r="AN44" s="4"/>
    </row>
    <row r="45" spans="1:40" x14ac:dyDescent="0.2">
      <c r="A45" s="4"/>
      <c r="S45" s="113"/>
      <c r="T45" s="4"/>
      <c r="U45" s="4"/>
      <c r="V45" s="4"/>
      <c r="W45" s="4"/>
      <c r="X45" s="4"/>
      <c r="Y45" s="4"/>
      <c r="Z45" s="4"/>
      <c r="AA45" s="4"/>
      <c r="AB45" s="4"/>
      <c r="AC45" s="4"/>
      <c r="AD45" s="4"/>
      <c r="AE45" s="4"/>
      <c r="AF45" s="4"/>
      <c r="AG45" s="4"/>
      <c r="AH45" s="4"/>
      <c r="AI45" s="4"/>
      <c r="AJ45" s="4"/>
      <c r="AK45" s="4"/>
      <c r="AL45" s="4"/>
      <c r="AM45" s="4"/>
      <c r="AN45" s="4"/>
    </row>
    <row r="46" spans="1:40" x14ac:dyDescent="0.2">
      <c r="A46" s="4"/>
      <c r="S46" s="113"/>
      <c r="T46" s="4"/>
      <c r="U46" s="4"/>
      <c r="V46" s="4"/>
      <c r="W46" s="4"/>
      <c r="X46" s="4"/>
      <c r="Y46" s="4"/>
      <c r="Z46" s="4"/>
      <c r="AA46" s="4"/>
      <c r="AB46" s="4"/>
      <c r="AC46" s="4"/>
      <c r="AD46" s="4"/>
      <c r="AE46" s="4"/>
      <c r="AF46" s="4"/>
      <c r="AG46" s="4"/>
      <c r="AH46" s="4"/>
      <c r="AI46" s="4"/>
      <c r="AJ46" s="4"/>
      <c r="AK46" s="4"/>
      <c r="AL46" s="4"/>
      <c r="AM46" s="4"/>
      <c r="AN46" s="4"/>
    </row>
    <row r="47" spans="1:40" x14ac:dyDescent="0.2">
      <c r="A47" s="4"/>
      <c r="S47" s="113"/>
      <c r="T47" s="4"/>
      <c r="U47" s="4"/>
      <c r="V47" s="4"/>
      <c r="W47" s="4"/>
      <c r="X47" s="4"/>
      <c r="Y47" s="4"/>
      <c r="Z47" s="4"/>
      <c r="AA47" s="4"/>
      <c r="AB47" s="4"/>
      <c r="AC47" s="4"/>
      <c r="AD47" s="4"/>
      <c r="AE47" s="4"/>
      <c r="AF47" s="4"/>
      <c r="AG47" s="4"/>
      <c r="AH47" s="4"/>
      <c r="AI47" s="4"/>
      <c r="AJ47" s="4"/>
      <c r="AK47" s="4"/>
      <c r="AL47" s="4"/>
      <c r="AM47" s="4"/>
      <c r="AN47" s="4"/>
    </row>
    <row r="48" spans="1:40" x14ac:dyDescent="0.2">
      <c r="A48" s="4"/>
      <c r="S48" s="113"/>
      <c r="T48" s="4"/>
      <c r="U48" s="4"/>
      <c r="V48" s="4"/>
      <c r="W48" s="4"/>
      <c r="X48" s="4"/>
      <c r="Y48" s="4"/>
      <c r="Z48" s="4"/>
      <c r="AA48" s="4"/>
      <c r="AB48" s="4"/>
      <c r="AC48" s="4"/>
      <c r="AD48" s="4"/>
      <c r="AE48" s="4"/>
      <c r="AF48" s="4"/>
      <c r="AG48" s="4"/>
      <c r="AH48" s="4"/>
      <c r="AI48" s="4"/>
      <c r="AJ48" s="4"/>
      <c r="AK48" s="4"/>
      <c r="AL48" s="4"/>
      <c r="AM48" s="4"/>
      <c r="AN48" s="4"/>
    </row>
    <row r="49" spans="1:40" x14ac:dyDescent="0.2">
      <c r="A49" s="4"/>
      <c r="S49" s="113"/>
      <c r="T49" s="4"/>
      <c r="U49" s="4"/>
      <c r="V49" s="4"/>
      <c r="W49" s="4"/>
      <c r="X49" s="4"/>
      <c r="Y49" s="4"/>
      <c r="Z49" s="4"/>
      <c r="AA49" s="4"/>
      <c r="AB49" s="4"/>
      <c r="AC49" s="4"/>
      <c r="AD49" s="4"/>
      <c r="AE49" s="4"/>
      <c r="AF49" s="4"/>
      <c r="AG49" s="4"/>
      <c r="AH49" s="4"/>
      <c r="AI49" s="4"/>
      <c r="AJ49" s="4"/>
      <c r="AK49" s="4"/>
      <c r="AL49" s="4"/>
      <c r="AM49" s="4"/>
      <c r="AN49" s="4"/>
    </row>
    <row r="50" spans="1:40" x14ac:dyDescent="0.2">
      <c r="A50" s="4"/>
      <c r="S50" s="113"/>
      <c r="T50" s="4"/>
      <c r="U50" s="4"/>
      <c r="V50" s="4"/>
      <c r="W50" s="4"/>
      <c r="X50" s="4"/>
      <c r="Y50" s="4"/>
      <c r="Z50" s="4"/>
      <c r="AA50" s="4"/>
      <c r="AB50" s="4"/>
      <c r="AC50" s="4"/>
      <c r="AD50" s="4"/>
      <c r="AE50" s="4"/>
      <c r="AF50" s="4"/>
      <c r="AG50" s="4"/>
      <c r="AH50" s="4"/>
      <c r="AI50" s="4"/>
      <c r="AJ50" s="4"/>
      <c r="AK50" s="4"/>
      <c r="AL50" s="4"/>
      <c r="AM50" s="4"/>
      <c r="AN50" s="4"/>
    </row>
    <row r="51" spans="1:40" x14ac:dyDescent="0.2">
      <c r="A51" s="4"/>
      <c r="S51" s="113"/>
      <c r="T51" s="4"/>
      <c r="U51" s="4"/>
      <c r="V51" s="4"/>
      <c r="W51" s="4"/>
      <c r="X51" s="4"/>
      <c r="Y51" s="4"/>
      <c r="Z51" s="4"/>
      <c r="AA51" s="4"/>
      <c r="AB51" s="4"/>
      <c r="AC51" s="4"/>
      <c r="AD51" s="4"/>
      <c r="AE51" s="4"/>
      <c r="AF51" s="4"/>
      <c r="AG51" s="4"/>
      <c r="AH51" s="4"/>
      <c r="AI51" s="4"/>
      <c r="AJ51" s="4"/>
      <c r="AK51" s="4"/>
      <c r="AL51" s="4"/>
      <c r="AM51" s="4"/>
      <c r="AN51" s="4"/>
    </row>
    <row r="52" spans="1:40" x14ac:dyDescent="0.2">
      <c r="A52" s="4"/>
      <c r="S52" s="113"/>
      <c r="T52" s="4"/>
      <c r="U52" s="4"/>
      <c r="V52" s="4"/>
      <c r="W52" s="4"/>
      <c r="X52" s="4"/>
      <c r="Y52" s="4"/>
      <c r="Z52" s="4"/>
      <c r="AA52" s="4"/>
      <c r="AB52" s="4"/>
      <c r="AC52" s="4"/>
      <c r="AD52" s="4"/>
      <c r="AE52" s="4"/>
      <c r="AF52" s="4"/>
      <c r="AG52" s="4"/>
      <c r="AH52" s="4"/>
      <c r="AI52" s="4"/>
      <c r="AJ52" s="4"/>
      <c r="AK52" s="4"/>
      <c r="AL52" s="4"/>
      <c r="AM52" s="4"/>
      <c r="AN52" s="4"/>
    </row>
    <row r="53" spans="1:40" x14ac:dyDescent="0.2">
      <c r="A53" s="4"/>
      <c r="S53" s="113"/>
      <c r="T53" s="4"/>
      <c r="U53" s="4"/>
      <c r="V53" s="4"/>
      <c r="W53" s="4"/>
      <c r="X53" s="4"/>
      <c r="Y53" s="4"/>
      <c r="Z53" s="4"/>
      <c r="AA53" s="4"/>
      <c r="AB53" s="4"/>
      <c r="AC53" s="4"/>
      <c r="AD53" s="4"/>
      <c r="AE53" s="4"/>
      <c r="AF53" s="4"/>
      <c r="AG53" s="4"/>
      <c r="AH53" s="4"/>
      <c r="AI53" s="4"/>
      <c r="AJ53" s="4"/>
      <c r="AK53" s="4"/>
      <c r="AL53" s="4"/>
      <c r="AM53" s="4"/>
      <c r="AN53" s="4"/>
    </row>
    <row r="54" spans="1:40" x14ac:dyDescent="0.2">
      <c r="A54" s="4"/>
      <c r="S54" s="113"/>
      <c r="T54" s="4"/>
      <c r="U54" s="4"/>
      <c r="V54" s="4"/>
      <c r="W54" s="4"/>
      <c r="X54" s="4"/>
      <c r="Y54" s="4"/>
      <c r="Z54" s="4"/>
      <c r="AA54" s="4"/>
      <c r="AB54" s="4"/>
      <c r="AC54" s="4"/>
      <c r="AD54" s="4"/>
      <c r="AE54" s="4"/>
      <c r="AF54" s="4"/>
      <c r="AG54" s="4"/>
      <c r="AH54" s="4"/>
      <c r="AI54" s="4"/>
      <c r="AJ54" s="4"/>
      <c r="AK54" s="4"/>
      <c r="AL54" s="4"/>
      <c r="AM54" s="4"/>
      <c r="AN54" s="4"/>
    </row>
    <row r="55" spans="1:40" x14ac:dyDescent="0.2">
      <c r="A55" s="4"/>
      <c r="S55" s="113"/>
      <c r="T55" s="4"/>
      <c r="U55" s="4"/>
      <c r="V55" s="4"/>
      <c r="W55" s="4"/>
      <c r="X55" s="4"/>
      <c r="Y55" s="4"/>
      <c r="Z55" s="4"/>
      <c r="AA55" s="4"/>
      <c r="AB55" s="4"/>
      <c r="AC55" s="4"/>
      <c r="AD55" s="4"/>
      <c r="AE55" s="4"/>
      <c r="AF55" s="4"/>
      <c r="AG55" s="4"/>
      <c r="AH55" s="4"/>
      <c r="AI55" s="4"/>
      <c r="AJ55" s="4"/>
      <c r="AK55" s="4"/>
      <c r="AL55" s="4"/>
      <c r="AM55" s="4"/>
      <c r="AN55" s="4"/>
    </row>
    <row r="56" spans="1:40" x14ac:dyDescent="0.2">
      <c r="A56" s="4"/>
      <c r="S56" s="113"/>
      <c r="T56" s="4"/>
      <c r="U56" s="4"/>
      <c r="V56" s="4"/>
      <c r="W56" s="4"/>
      <c r="X56" s="4"/>
      <c r="Y56" s="4"/>
      <c r="Z56" s="4"/>
      <c r="AA56" s="4"/>
      <c r="AB56" s="4"/>
      <c r="AC56" s="4"/>
      <c r="AD56" s="4"/>
      <c r="AE56" s="4"/>
      <c r="AF56" s="4"/>
      <c r="AG56" s="4"/>
      <c r="AH56" s="4"/>
      <c r="AI56" s="4"/>
      <c r="AJ56" s="4"/>
      <c r="AK56" s="4"/>
      <c r="AL56" s="4"/>
      <c r="AM56" s="4"/>
      <c r="AN56" s="4"/>
    </row>
    <row r="57" spans="1:40" x14ac:dyDescent="0.2">
      <c r="A57" s="4"/>
      <c r="S57" s="113"/>
      <c r="T57" s="4"/>
      <c r="U57" s="4"/>
      <c r="V57" s="4"/>
      <c r="W57" s="4"/>
      <c r="X57" s="4"/>
      <c r="Y57" s="4"/>
      <c r="Z57" s="4"/>
      <c r="AA57" s="4"/>
      <c r="AB57" s="4"/>
      <c r="AC57" s="4"/>
      <c r="AD57" s="4"/>
      <c r="AE57" s="4"/>
      <c r="AF57" s="4"/>
      <c r="AG57" s="4"/>
      <c r="AH57" s="4"/>
      <c r="AI57" s="4"/>
      <c r="AJ57" s="4"/>
      <c r="AK57" s="4"/>
      <c r="AL57" s="4"/>
      <c r="AM57" s="4"/>
      <c r="AN57" s="4"/>
    </row>
    <row r="58" spans="1:40" x14ac:dyDescent="0.2">
      <c r="A58" s="4"/>
      <c r="S58" s="113"/>
      <c r="T58" s="4"/>
      <c r="U58" s="4"/>
      <c r="V58" s="4"/>
      <c r="W58" s="4"/>
      <c r="X58" s="4"/>
      <c r="Y58" s="4"/>
      <c r="Z58" s="4"/>
      <c r="AA58" s="4"/>
      <c r="AB58" s="4"/>
      <c r="AC58" s="4"/>
      <c r="AD58" s="4"/>
      <c r="AE58" s="4"/>
      <c r="AF58" s="4"/>
      <c r="AG58" s="4"/>
      <c r="AH58" s="4"/>
      <c r="AI58" s="4"/>
      <c r="AJ58" s="4"/>
      <c r="AK58" s="4"/>
      <c r="AL58" s="4"/>
      <c r="AM58" s="4"/>
      <c r="AN58" s="4"/>
    </row>
    <row r="59" spans="1:40" x14ac:dyDescent="0.2">
      <c r="A59" s="4"/>
      <c r="S59" s="113"/>
      <c r="T59" s="4"/>
      <c r="U59" s="4"/>
      <c r="V59" s="4"/>
      <c r="W59" s="4"/>
      <c r="X59" s="4"/>
      <c r="Y59" s="4"/>
      <c r="Z59" s="4"/>
      <c r="AA59" s="4"/>
      <c r="AB59" s="4"/>
      <c r="AC59" s="4"/>
      <c r="AD59" s="4"/>
      <c r="AE59" s="4"/>
      <c r="AF59" s="4"/>
      <c r="AG59" s="4"/>
      <c r="AH59" s="4"/>
      <c r="AI59" s="4"/>
      <c r="AJ59" s="4"/>
      <c r="AK59" s="4"/>
      <c r="AL59" s="4"/>
      <c r="AM59" s="4"/>
      <c r="AN59" s="4"/>
    </row>
    <row r="60" spans="1:40" x14ac:dyDescent="0.2">
      <c r="A60" s="4"/>
      <c r="S60" s="113"/>
      <c r="T60" s="4"/>
      <c r="U60" s="4"/>
      <c r="V60" s="4"/>
      <c r="W60" s="4"/>
      <c r="X60" s="4"/>
      <c r="Y60" s="4"/>
      <c r="Z60" s="4"/>
      <c r="AA60" s="4"/>
      <c r="AB60" s="4"/>
      <c r="AC60" s="4"/>
      <c r="AD60" s="4"/>
      <c r="AE60" s="4"/>
      <c r="AF60" s="4"/>
      <c r="AG60" s="4"/>
      <c r="AH60" s="4"/>
      <c r="AI60" s="4"/>
      <c r="AJ60" s="4"/>
      <c r="AK60" s="4"/>
      <c r="AL60" s="4"/>
      <c r="AM60" s="4"/>
      <c r="AN60" s="4"/>
    </row>
    <row r="61" spans="1:40" x14ac:dyDescent="0.2">
      <c r="A61" s="4"/>
      <c r="S61" s="113"/>
      <c r="T61" s="4"/>
      <c r="U61" s="4"/>
      <c r="V61" s="4"/>
      <c r="W61" s="4"/>
      <c r="X61" s="4"/>
      <c r="Y61" s="4"/>
      <c r="Z61" s="4"/>
      <c r="AA61" s="4"/>
      <c r="AB61" s="4"/>
      <c r="AC61" s="4"/>
      <c r="AD61" s="4"/>
      <c r="AE61" s="4"/>
      <c r="AF61" s="4"/>
      <c r="AG61" s="4"/>
      <c r="AH61" s="4"/>
      <c r="AI61" s="4"/>
      <c r="AJ61" s="4"/>
      <c r="AK61" s="4"/>
      <c r="AL61" s="4"/>
      <c r="AM61" s="4"/>
      <c r="AN61" s="4"/>
    </row>
    <row r="62" spans="1:40" x14ac:dyDescent="0.2">
      <c r="A62" s="4"/>
      <c r="S62" s="113"/>
      <c r="T62" s="4"/>
      <c r="U62" s="4"/>
      <c r="V62" s="4"/>
      <c r="W62" s="4"/>
      <c r="X62" s="4"/>
      <c r="Y62" s="4"/>
      <c r="Z62" s="4"/>
      <c r="AA62" s="4"/>
      <c r="AB62" s="4"/>
      <c r="AC62" s="4"/>
      <c r="AD62" s="4"/>
      <c r="AE62" s="4"/>
      <c r="AF62" s="4"/>
      <c r="AG62" s="4"/>
      <c r="AH62" s="4"/>
      <c r="AI62" s="4"/>
      <c r="AJ62" s="4"/>
      <c r="AK62" s="4"/>
      <c r="AL62" s="4"/>
      <c r="AM62" s="4"/>
      <c r="AN62" s="4"/>
    </row>
    <row r="63" spans="1:40" x14ac:dyDescent="0.2">
      <c r="A63" s="4"/>
      <c r="S63" s="113"/>
      <c r="T63" s="4"/>
      <c r="U63" s="4"/>
      <c r="V63" s="4"/>
      <c r="W63" s="4"/>
      <c r="X63" s="4"/>
      <c r="Y63" s="4"/>
      <c r="Z63" s="4"/>
      <c r="AA63" s="4"/>
      <c r="AB63" s="4"/>
      <c r="AC63" s="4"/>
      <c r="AD63" s="4"/>
      <c r="AE63" s="4"/>
      <c r="AF63" s="4"/>
      <c r="AG63" s="4"/>
      <c r="AH63" s="4"/>
      <c r="AI63" s="4"/>
      <c r="AJ63" s="4"/>
      <c r="AK63" s="4"/>
      <c r="AL63" s="4"/>
      <c r="AM63" s="4"/>
      <c r="AN63" s="4"/>
    </row>
    <row r="64" spans="1:40" x14ac:dyDescent="0.2">
      <c r="A64" s="4"/>
      <c r="S64" s="113"/>
      <c r="T64" s="4"/>
      <c r="U64" s="4"/>
      <c r="V64" s="4"/>
      <c r="W64" s="4"/>
      <c r="X64" s="4"/>
      <c r="Y64" s="4"/>
      <c r="Z64" s="4"/>
      <c r="AA64" s="4"/>
      <c r="AB64" s="4"/>
      <c r="AC64" s="4"/>
      <c r="AD64" s="4"/>
      <c r="AE64" s="4"/>
      <c r="AF64" s="4"/>
      <c r="AG64" s="4"/>
      <c r="AH64" s="4"/>
      <c r="AI64" s="4"/>
      <c r="AJ64" s="4"/>
      <c r="AK64" s="4"/>
      <c r="AL64" s="4"/>
      <c r="AM64" s="4"/>
      <c r="AN64" s="4"/>
    </row>
    <row r="65" spans="1:40" x14ac:dyDescent="0.2">
      <c r="A65" s="4"/>
      <c r="S65" s="113"/>
      <c r="T65" s="4"/>
      <c r="U65" s="4"/>
      <c r="V65" s="4"/>
      <c r="W65" s="4"/>
      <c r="X65" s="4"/>
      <c r="Y65" s="4"/>
      <c r="Z65" s="4"/>
      <c r="AA65" s="4"/>
      <c r="AB65" s="4"/>
      <c r="AC65" s="4"/>
      <c r="AD65" s="4"/>
      <c r="AE65" s="4"/>
      <c r="AF65" s="4"/>
      <c r="AG65" s="4"/>
      <c r="AH65" s="4"/>
      <c r="AI65" s="4"/>
      <c r="AJ65" s="4"/>
      <c r="AK65" s="4"/>
      <c r="AL65" s="4"/>
      <c r="AM65" s="4"/>
      <c r="AN65" s="4"/>
    </row>
    <row r="66" spans="1:40" x14ac:dyDescent="0.2">
      <c r="A66" s="4"/>
      <c r="S66" s="113"/>
      <c r="T66" s="4"/>
      <c r="U66" s="4"/>
      <c r="V66" s="4"/>
      <c r="W66" s="4"/>
      <c r="X66" s="4"/>
      <c r="Y66" s="4"/>
      <c r="Z66" s="4"/>
      <c r="AA66" s="4"/>
      <c r="AB66" s="4"/>
      <c r="AC66" s="4"/>
      <c r="AD66" s="4"/>
      <c r="AE66" s="4"/>
      <c r="AF66" s="4"/>
      <c r="AG66" s="4"/>
      <c r="AH66" s="4"/>
      <c r="AI66" s="4"/>
      <c r="AJ66" s="4"/>
      <c r="AK66" s="4"/>
      <c r="AL66" s="4"/>
      <c r="AM66" s="4"/>
      <c r="AN66" s="4"/>
    </row>
    <row r="67" spans="1:40" x14ac:dyDescent="0.2">
      <c r="A67" s="4"/>
      <c r="S67" s="113"/>
      <c r="T67" s="4"/>
      <c r="U67" s="4"/>
      <c r="V67" s="4"/>
      <c r="W67" s="4"/>
      <c r="X67" s="4"/>
      <c r="Y67" s="4"/>
      <c r="Z67" s="4"/>
      <c r="AA67" s="4"/>
      <c r="AB67" s="4"/>
      <c r="AC67" s="4"/>
      <c r="AD67" s="4"/>
      <c r="AE67" s="4"/>
      <c r="AF67" s="4"/>
      <c r="AG67" s="4"/>
      <c r="AH67" s="4"/>
      <c r="AI67" s="4"/>
      <c r="AJ67" s="4"/>
      <c r="AK67" s="4"/>
      <c r="AL67" s="4"/>
      <c r="AM67" s="4"/>
      <c r="AN67" s="4"/>
    </row>
    <row r="68" spans="1:40" x14ac:dyDescent="0.2">
      <c r="A68" s="4"/>
      <c r="S68" s="113"/>
      <c r="T68" s="4"/>
      <c r="U68" s="4"/>
      <c r="V68" s="4"/>
      <c r="W68" s="4"/>
      <c r="X68" s="4"/>
      <c r="Y68" s="4"/>
      <c r="Z68" s="4"/>
      <c r="AA68" s="4"/>
      <c r="AB68" s="4"/>
      <c r="AC68" s="4"/>
      <c r="AD68" s="4"/>
      <c r="AE68" s="4"/>
      <c r="AF68" s="4"/>
      <c r="AG68" s="4"/>
      <c r="AH68" s="4"/>
      <c r="AI68" s="4"/>
      <c r="AJ68" s="4"/>
      <c r="AK68" s="4"/>
      <c r="AL68" s="4"/>
      <c r="AM68" s="4"/>
      <c r="AN68" s="4"/>
    </row>
    <row r="69" spans="1:40" x14ac:dyDescent="0.2">
      <c r="A69" s="4"/>
      <c r="S69" s="113"/>
      <c r="T69" s="4"/>
      <c r="U69" s="4"/>
      <c r="V69" s="4"/>
      <c r="W69" s="4"/>
      <c r="X69" s="4"/>
      <c r="Y69" s="4"/>
      <c r="Z69" s="4"/>
      <c r="AA69" s="4"/>
      <c r="AB69" s="4"/>
      <c r="AC69" s="4"/>
      <c r="AD69" s="4"/>
      <c r="AE69" s="4"/>
      <c r="AF69" s="4"/>
      <c r="AG69" s="4"/>
      <c r="AH69" s="4"/>
      <c r="AI69" s="4"/>
      <c r="AJ69" s="4"/>
      <c r="AK69" s="4"/>
      <c r="AL69" s="4"/>
      <c r="AM69" s="4"/>
      <c r="AN69" s="4"/>
    </row>
    <row r="70" spans="1:40" x14ac:dyDescent="0.2">
      <c r="A70" s="4"/>
      <c r="S70" s="113"/>
      <c r="T70" s="4"/>
      <c r="U70" s="4"/>
      <c r="V70" s="4"/>
      <c r="W70" s="4"/>
      <c r="X70" s="4"/>
      <c r="Y70" s="4"/>
      <c r="Z70" s="4"/>
      <c r="AA70" s="4"/>
      <c r="AB70" s="4"/>
      <c r="AC70" s="4"/>
      <c r="AD70" s="4"/>
      <c r="AE70" s="4"/>
      <c r="AF70" s="4"/>
      <c r="AG70" s="4"/>
      <c r="AH70" s="4"/>
      <c r="AI70" s="4"/>
      <c r="AJ70" s="4"/>
      <c r="AK70" s="4"/>
      <c r="AL70" s="4"/>
      <c r="AM70" s="4"/>
      <c r="AN70" s="4"/>
    </row>
    <row r="71" spans="1:40" x14ac:dyDescent="0.2">
      <c r="A71" s="4"/>
      <c r="S71" s="113"/>
      <c r="T71" s="4"/>
      <c r="U71" s="4"/>
      <c r="V71" s="4"/>
      <c r="W71" s="4"/>
      <c r="X71" s="4"/>
      <c r="Y71" s="4"/>
      <c r="Z71" s="4"/>
      <c r="AA71" s="4"/>
      <c r="AB71" s="4"/>
      <c r="AC71" s="4"/>
      <c r="AD71" s="4"/>
      <c r="AE71" s="4"/>
      <c r="AF71" s="4"/>
      <c r="AG71" s="4"/>
      <c r="AH71" s="4"/>
      <c r="AI71" s="4"/>
      <c r="AJ71" s="4"/>
      <c r="AK71" s="4"/>
      <c r="AL71" s="4"/>
      <c r="AM71" s="4"/>
      <c r="AN71" s="4"/>
    </row>
    <row r="72" spans="1:40" x14ac:dyDescent="0.2">
      <c r="A72" s="4"/>
      <c r="S72" s="113"/>
      <c r="T72" s="4"/>
      <c r="U72" s="4"/>
      <c r="V72" s="4"/>
      <c r="W72" s="4"/>
      <c r="X72" s="4"/>
      <c r="Y72" s="4"/>
      <c r="Z72" s="4"/>
      <c r="AA72" s="4"/>
      <c r="AB72" s="4"/>
      <c r="AC72" s="4"/>
      <c r="AD72" s="4"/>
      <c r="AE72" s="4"/>
      <c r="AF72" s="4"/>
      <c r="AG72" s="4"/>
      <c r="AH72" s="4"/>
      <c r="AI72" s="4"/>
      <c r="AJ72" s="4"/>
      <c r="AK72" s="4"/>
      <c r="AL72" s="4"/>
      <c r="AM72" s="4"/>
      <c r="AN72" s="4"/>
    </row>
    <row r="73" spans="1:40" x14ac:dyDescent="0.2">
      <c r="A73" s="4"/>
      <c r="S73" s="113"/>
      <c r="T73" s="4"/>
      <c r="U73" s="4"/>
      <c r="V73" s="4"/>
      <c r="W73" s="4"/>
      <c r="X73" s="4"/>
      <c r="Y73" s="4"/>
      <c r="Z73" s="4"/>
      <c r="AA73" s="4"/>
      <c r="AB73" s="4"/>
      <c r="AC73" s="4"/>
      <c r="AD73" s="4"/>
      <c r="AE73" s="4"/>
      <c r="AF73" s="4"/>
      <c r="AG73" s="4"/>
      <c r="AH73" s="4"/>
      <c r="AI73" s="4"/>
      <c r="AJ73" s="4"/>
      <c r="AK73" s="4"/>
      <c r="AL73" s="4"/>
      <c r="AM73" s="4"/>
      <c r="AN73" s="4"/>
    </row>
    <row r="74" spans="1:40" x14ac:dyDescent="0.2">
      <c r="A74" s="4"/>
      <c r="S74" s="113"/>
      <c r="T74" s="4"/>
      <c r="U74" s="4"/>
      <c r="V74" s="4"/>
      <c r="W74" s="4"/>
      <c r="X74" s="4"/>
      <c r="Y74" s="4"/>
      <c r="Z74" s="4"/>
      <c r="AA74" s="4"/>
      <c r="AB74" s="4"/>
      <c r="AC74" s="4"/>
      <c r="AD74" s="4"/>
      <c r="AE74" s="4"/>
      <c r="AF74" s="4"/>
      <c r="AG74" s="4"/>
      <c r="AH74" s="4"/>
      <c r="AI74" s="4"/>
      <c r="AJ74" s="4"/>
      <c r="AK74" s="4"/>
      <c r="AL74" s="4"/>
      <c r="AM74" s="4"/>
      <c r="AN74" s="4"/>
    </row>
    <row r="75" spans="1:40" x14ac:dyDescent="0.2">
      <c r="A75" s="4"/>
      <c r="S75" s="113"/>
      <c r="T75" s="4"/>
      <c r="U75" s="4"/>
      <c r="V75" s="4"/>
      <c r="W75" s="4"/>
      <c r="X75" s="4"/>
      <c r="Y75" s="4"/>
      <c r="Z75" s="4"/>
      <c r="AA75" s="4"/>
      <c r="AB75" s="4"/>
      <c r="AC75" s="4"/>
      <c r="AD75" s="4"/>
      <c r="AE75" s="4"/>
      <c r="AF75" s="4"/>
      <c r="AG75" s="4"/>
      <c r="AH75" s="4"/>
      <c r="AI75" s="4"/>
      <c r="AJ75" s="4"/>
      <c r="AK75" s="4"/>
      <c r="AL75" s="4"/>
      <c r="AM75" s="4"/>
      <c r="AN75" s="4"/>
    </row>
    <row r="76" spans="1:40" x14ac:dyDescent="0.2">
      <c r="A76" s="4"/>
      <c r="S76" s="113"/>
      <c r="T76" s="4"/>
      <c r="U76" s="4"/>
      <c r="V76" s="4"/>
      <c r="W76" s="4"/>
      <c r="X76" s="4"/>
      <c r="Y76" s="4"/>
      <c r="Z76" s="4"/>
      <c r="AA76" s="4"/>
      <c r="AB76" s="4"/>
      <c r="AC76" s="4"/>
      <c r="AD76" s="4"/>
      <c r="AE76" s="4"/>
      <c r="AF76" s="4"/>
      <c r="AG76" s="4"/>
      <c r="AH76" s="4"/>
      <c r="AI76" s="4"/>
      <c r="AJ76" s="4"/>
      <c r="AK76" s="4"/>
      <c r="AL76" s="4"/>
      <c r="AM76" s="4"/>
      <c r="AN76" s="4"/>
    </row>
    <row r="77" spans="1:40" x14ac:dyDescent="0.2">
      <c r="A77" s="4"/>
      <c r="S77" s="113"/>
      <c r="T77" s="4"/>
      <c r="U77" s="4"/>
      <c r="V77" s="4"/>
      <c r="W77" s="4"/>
      <c r="X77" s="4"/>
      <c r="Y77" s="4"/>
      <c r="Z77" s="4"/>
      <c r="AA77" s="4"/>
      <c r="AB77" s="4"/>
      <c r="AC77" s="4"/>
      <c r="AD77" s="4"/>
      <c r="AE77" s="4"/>
      <c r="AF77" s="4"/>
      <c r="AG77" s="4"/>
      <c r="AH77" s="4"/>
      <c r="AI77" s="4"/>
      <c r="AJ77" s="4"/>
      <c r="AK77" s="4"/>
      <c r="AL77" s="4"/>
      <c r="AM77" s="4"/>
      <c r="AN77" s="4"/>
    </row>
    <row r="78" spans="1:40" x14ac:dyDescent="0.2">
      <c r="A78" s="4"/>
      <c r="S78" s="113"/>
      <c r="T78" s="4"/>
      <c r="U78" s="4"/>
      <c r="V78" s="4"/>
      <c r="W78" s="4"/>
      <c r="X78" s="4"/>
      <c r="Y78" s="4"/>
      <c r="Z78" s="4"/>
      <c r="AA78" s="4"/>
      <c r="AB78" s="4"/>
      <c r="AC78" s="4"/>
      <c r="AD78" s="4"/>
      <c r="AE78" s="4"/>
      <c r="AF78" s="4"/>
      <c r="AG78" s="4"/>
      <c r="AH78" s="4"/>
      <c r="AI78" s="4"/>
      <c r="AJ78" s="4"/>
      <c r="AK78" s="4"/>
      <c r="AL78" s="4"/>
      <c r="AM78" s="4"/>
      <c r="AN78" s="4"/>
    </row>
    <row r="79" spans="1:40" x14ac:dyDescent="0.2">
      <c r="A79" s="4"/>
      <c r="S79" s="113"/>
      <c r="T79" s="4"/>
      <c r="U79" s="4"/>
      <c r="V79" s="4"/>
      <c r="W79" s="4"/>
      <c r="X79" s="4"/>
      <c r="Y79" s="4"/>
      <c r="Z79" s="4"/>
      <c r="AA79" s="4"/>
      <c r="AB79" s="4"/>
      <c r="AC79" s="4"/>
      <c r="AD79" s="4"/>
      <c r="AE79" s="4"/>
      <c r="AF79" s="4"/>
      <c r="AG79" s="4"/>
      <c r="AH79" s="4"/>
      <c r="AI79" s="4"/>
      <c r="AJ79" s="4"/>
      <c r="AK79" s="4"/>
      <c r="AL79" s="4"/>
      <c r="AM79" s="4"/>
      <c r="AN79" s="4"/>
    </row>
    <row r="80" spans="1:40" x14ac:dyDescent="0.2">
      <c r="A80" s="4"/>
      <c r="S80" s="113"/>
      <c r="T80" s="4"/>
      <c r="U80" s="4"/>
      <c r="V80" s="4"/>
      <c r="W80" s="4"/>
      <c r="X80" s="4"/>
      <c r="Y80" s="4"/>
      <c r="Z80" s="4"/>
      <c r="AA80" s="4"/>
      <c r="AB80" s="4"/>
      <c r="AC80" s="4"/>
      <c r="AD80" s="4"/>
      <c r="AE80" s="4"/>
      <c r="AF80" s="4"/>
      <c r="AG80" s="4"/>
      <c r="AH80" s="4"/>
      <c r="AI80" s="4"/>
      <c r="AJ80" s="4"/>
      <c r="AK80" s="4"/>
      <c r="AL80" s="4"/>
      <c r="AM80" s="4"/>
      <c r="AN80" s="4"/>
    </row>
    <row r="81" spans="1:40" x14ac:dyDescent="0.2">
      <c r="A81" s="4"/>
      <c r="S81" s="113"/>
      <c r="T81" s="4"/>
      <c r="U81" s="4"/>
      <c r="V81" s="4"/>
      <c r="W81" s="4"/>
      <c r="X81" s="4"/>
      <c r="Y81" s="4"/>
      <c r="Z81" s="4"/>
      <c r="AA81" s="4"/>
      <c r="AB81" s="4"/>
      <c r="AC81" s="4"/>
      <c r="AD81" s="4"/>
      <c r="AE81" s="4"/>
      <c r="AF81" s="4"/>
      <c r="AG81" s="4"/>
      <c r="AH81" s="4"/>
      <c r="AI81" s="4"/>
      <c r="AJ81" s="4"/>
      <c r="AK81" s="4"/>
      <c r="AL81" s="4"/>
      <c r="AM81" s="4"/>
      <c r="AN81" s="4"/>
    </row>
    <row r="82" spans="1:40" x14ac:dyDescent="0.2">
      <c r="A82" s="4"/>
      <c r="S82" s="113"/>
      <c r="T82" s="4"/>
      <c r="U82" s="4"/>
      <c r="V82" s="4"/>
      <c r="W82" s="4"/>
      <c r="X82" s="4"/>
      <c r="Y82" s="4"/>
      <c r="Z82" s="4"/>
      <c r="AA82" s="4"/>
      <c r="AB82" s="4"/>
      <c r="AC82" s="4"/>
      <c r="AD82" s="4"/>
      <c r="AE82" s="4"/>
      <c r="AF82" s="4"/>
      <c r="AG82" s="4"/>
      <c r="AH82" s="4"/>
      <c r="AI82" s="4"/>
      <c r="AJ82" s="4"/>
      <c r="AK82" s="4"/>
      <c r="AL82" s="4"/>
      <c r="AM82" s="4"/>
      <c r="AN82" s="4"/>
    </row>
    <row r="83" spans="1:40" x14ac:dyDescent="0.2">
      <c r="A83" s="4"/>
      <c r="S83" s="113"/>
      <c r="T83" s="4"/>
      <c r="U83" s="4"/>
      <c r="V83" s="4"/>
      <c r="W83" s="4"/>
      <c r="X83" s="4"/>
      <c r="Y83" s="4"/>
      <c r="Z83" s="4"/>
      <c r="AA83" s="4"/>
      <c r="AB83" s="4"/>
      <c r="AC83" s="4"/>
      <c r="AD83" s="4"/>
      <c r="AE83" s="4"/>
      <c r="AF83" s="4"/>
      <c r="AG83" s="4"/>
      <c r="AH83" s="4"/>
      <c r="AI83" s="4"/>
      <c r="AJ83" s="4"/>
      <c r="AK83" s="4"/>
      <c r="AL83" s="4"/>
      <c r="AM83" s="4"/>
      <c r="AN83" s="4"/>
    </row>
    <row r="84" spans="1:40" x14ac:dyDescent="0.2">
      <c r="A84" s="4"/>
      <c r="S84" s="113"/>
      <c r="T84" s="4"/>
      <c r="U84" s="4"/>
      <c r="V84" s="4"/>
      <c r="W84" s="4"/>
      <c r="X84" s="4"/>
      <c r="Y84" s="4"/>
      <c r="Z84" s="4"/>
      <c r="AA84" s="4"/>
      <c r="AB84" s="4"/>
      <c r="AC84" s="4"/>
      <c r="AD84" s="4"/>
      <c r="AE84" s="4"/>
      <c r="AF84" s="4"/>
      <c r="AG84" s="4"/>
      <c r="AH84" s="4"/>
      <c r="AI84" s="4"/>
      <c r="AJ84" s="4"/>
      <c r="AK84" s="4"/>
      <c r="AL84" s="4"/>
      <c r="AM84" s="4"/>
      <c r="AN84" s="4"/>
    </row>
    <row r="85" spans="1:40" x14ac:dyDescent="0.2">
      <c r="A85" s="4"/>
      <c r="S85" s="113"/>
      <c r="T85" s="4"/>
      <c r="U85" s="4"/>
      <c r="V85" s="4"/>
      <c r="W85" s="4"/>
      <c r="X85" s="4"/>
      <c r="Y85" s="4"/>
      <c r="Z85" s="4"/>
      <c r="AA85" s="4"/>
      <c r="AB85" s="4"/>
      <c r="AC85" s="4"/>
      <c r="AD85" s="4"/>
      <c r="AE85" s="4"/>
      <c r="AF85" s="4"/>
      <c r="AG85" s="4"/>
      <c r="AH85" s="4"/>
      <c r="AI85" s="4"/>
      <c r="AJ85" s="4"/>
      <c r="AK85" s="4"/>
      <c r="AL85" s="4"/>
      <c r="AM85" s="4"/>
      <c r="AN85" s="4"/>
    </row>
    <row r="86" spans="1:40" x14ac:dyDescent="0.2">
      <c r="A86" s="4"/>
      <c r="S86" s="113"/>
      <c r="T86" s="4"/>
      <c r="U86" s="4"/>
      <c r="V86" s="4"/>
      <c r="W86" s="4"/>
      <c r="X86" s="4"/>
      <c r="Y86" s="4"/>
      <c r="Z86" s="4"/>
      <c r="AA86" s="4"/>
      <c r="AB86" s="4"/>
      <c r="AC86" s="4"/>
      <c r="AD86" s="4"/>
      <c r="AE86" s="4"/>
      <c r="AF86" s="4"/>
      <c r="AG86" s="4"/>
      <c r="AH86" s="4"/>
      <c r="AI86" s="4"/>
      <c r="AJ86" s="4"/>
      <c r="AK86" s="4"/>
      <c r="AL86" s="4"/>
      <c r="AM86" s="4"/>
      <c r="AN86" s="4"/>
    </row>
    <row r="87" spans="1:40" x14ac:dyDescent="0.2">
      <c r="A87" s="4"/>
      <c r="S87" s="113"/>
      <c r="T87" s="4"/>
      <c r="U87" s="4"/>
      <c r="V87" s="4"/>
      <c r="W87" s="4"/>
      <c r="X87" s="4"/>
      <c r="Y87" s="4"/>
      <c r="Z87" s="4"/>
      <c r="AA87" s="4"/>
      <c r="AB87" s="4"/>
      <c r="AC87" s="4"/>
      <c r="AD87" s="4"/>
      <c r="AE87" s="4"/>
      <c r="AF87" s="4"/>
      <c r="AG87" s="4"/>
      <c r="AH87" s="4"/>
      <c r="AI87" s="4"/>
      <c r="AJ87" s="4"/>
      <c r="AK87" s="4"/>
      <c r="AL87" s="4"/>
      <c r="AM87" s="4"/>
      <c r="AN87" s="4"/>
    </row>
    <row r="88" spans="1:40" x14ac:dyDescent="0.2">
      <c r="A88" s="4"/>
      <c r="S88" s="113"/>
      <c r="T88" s="4"/>
      <c r="U88" s="4"/>
      <c r="V88" s="4"/>
      <c r="W88" s="4"/>
      <c r="X88" s="4"/>
      <c r="Y88" s="4"/>
      <c r="Z88" s="4"/>
      <c r="AA88" s="4"/>
      <c r="AB88" s="4"/>
      <c r="AC88" s="4"/>
      <c r="AD88" s="4"/>
      <c r="AE88" s="4"/>
      <c r="AF88" s="4"/>
      <c r="AG88" s="4"/>
      <c r="AH88" s="4"/>
      <c r="AI88" s="4"/>
      <c r="AJ88" s="4"/>
      <c r="AK88" s="4"/>
      <c r="AL88" s="4"/>
      <c r="AM88" s="4"/>
      <c r="AN88" s="4"/>
    </row>
    <row r="89" spans="1:40" x14ac:dyDescent="0.2">
      <c r="A89" s="4"/>
      <c r="S89" s="113"/>
      <c r="T89" s="4"/>
      <c r="U89" s="4"/>
      <c r="V89" s="4"/>
      <c r="W89" s="4"/>
      <c r="X89" s="4"/>
      <c r="Y89" s="4"/>
      <c r="Z89" s="4"/>
      <c r="AA89" s="4"/>
      <c r="AB89" s="4"/>
      <c r="AC89" s="4"/>
      <c r="AD89" s="4"/>
      <c r="AE89" s="4"/>
      <c r="AF89" s="4"/>
      <c r="AG89" s="4"/>
      <c r="AH89" s="4"/>
      <c r="AI89" s="4"/>
      <c r="AJ89" s="4"/>
      <c r="AK89" s="4"/>
      <c r="AL89" s="4"/>
      <c r="AM89" s="4"/>
      <c r="AN89" s="4"/>
    </row>
    <row r="90" spans="1:40" x14ac:dyDescent="0.2">
      <c r="A90" s="4"/>
      <c r="S90" s="113"/>
      <c r="T90" s="4"/>
      <c r="U90" s="4"/>
      <c r="V90" s="4"/>
      <c r="W90" s="4"/>
      <c r="X90" s="4"/>
      <c r="Y90" s="4"/>
      <c r="Z90" s="4"/>
      <c r="AA90" s="4"/>
      <c r="AB90" s="4"/>
      <c r="AC90" s="4"/>
      <c r="AD90" s="4"/>
      <c r="AE90" s="4"/>
      <c r="AF90" s="4"/>
      <c r="AG90" s="4"/>
      <c r="AH90" s="4"/>
      <c r="AI90" s="4"/>
      <c r="AJ90" s="4"/>
      <c r="AK90" s="4"/>
      <c r="AL90" s="4"/>
      <c r="AM90" s="4"/>
      <c r="AN90" s="4"/>
    </row>
    <row r="91" spans="1:40" x14ac:dyDescent="0.2">
      <c r="A91" s="4"/>
      <c r="S91" s="113"/>
      <c r="T91" s="4"/>
      <c r="U91" s="4"/>
      <c r="V91" s="4"/>
      <c r="W91" s="4"/>
      <c r="X91" s="4"/>
      <c r="Y91" s="4"/>
      <c r="Z91" s="4"/>
      <c r="AA91" s="4"/>
      <c r="AB91" s="4"/>
      <c r="AC91" s="4"/>
      <c r="AD91" s="4"/>
      <c r="AE91" s="4"/>
      <c r="AF91" s="4"/>
      <c r="AG91" s="4"/>
      <c r="AH91" s="4"/>
      <c r="AI91" s="4"/>
      <c r="AJ91" s="4"/>
      <c r="AK91" s="4"/>
      <c r="AL91" s="4"/>
      <c r="AM91" s="4"/>
      <c r="AN91" s="4"/>
    </row>
    <row r="92" spans="1:40" x14ac:dyDescent="0.2">
      <c r="A92" s="4"/>
      <c r="S92" s="113"/>
      <c r="T92" s="4"/>
      <c r="U92" s="4"/>
      <c r="V92" s="4"/>
      <c r="W92" s="4"/>
      <c r="X92" s="4"/>
      <c r="Y92" s="4"/>
      <c r="Z92" s="4"/>
      <c r="AA92" s="4"/>
      <c r="AB92" s="4"/>
      <c r="AC92" s="4"/>
      <c r="AD92" s="4"/>
      <c r="AE92" s="4"/>
      <c r="AF92" s="4"/>
      <c r="AG92" s="4"/>
      <c r="AH92" s="4"/>
      <c r="AI92" s="4"/>
      <c r="AJ92" s="4"/>
      <c r="AK92" s="4"/>
      <c r="AL92" s="4"/>
      <c r="AM92" s="4"/>
      <c r="AN92" s="4"/>
    </row>
    <row r="93" spans="1:40" x14ac:dyDescent="0.2">
      <c r="A93" s="4"/>
      <c r="S93" s="113"/>
      <c r="T93" s="4"/>
      <c r="U93" s="4"/>
      <c r="V93" s="4"/>
      <c r="W93" s="4"/>
      <c r="X93" s="4"/>
      <c r="Y93" s="4"/>
      <c r="Z93" s="4"/>
      <c r="AA93" s="4"/>
      <c r="AB93" s="4"/>
      <c r="AC93" s="4"/>
      <c r="AD93" s="4"/>
      <c r="AE93" s="4"/>
      <c r="AF93" s="4"/>
      <c r="AG93" s="4"/>
      <c r="AH93" s="4"/>
      <c r="AI93" s="4"/>
      <c r="AJ93" s="4"/>
      <c r="AK93" s="4"/>
      <c r="AL93" s="4"/>
      <c r="AM93" s="4"/>
      <c r="AN93" s="4"/>
    </row>
    <row r="94" spans="1:40" x14ac:dyDescent="0.2">
      <c r="A94" s="4"/>
      <c r="S94" s="113"/>
      <c r="T94" s="4"/>
      <c r="U94" s="4"/>
      <c r="V94" s="4"/>
      <c r="W94" s="4"/>
      <c r="X94" s="4"/>
      <c r="Y94" s="4"/>
      <c r="Z94" s="4"/>
      <c r="AA94" s="4"/>
      <c r="AB94" s="4"/>
      <c r="AC94" s="4"/>
      <c r="AD94" s="4"/>
      <c r="AE94" s="4"/>
      <c r="AF94" s="4"/>
      <c r="AG94" s="4"/>
      <c r="AH94" s="4"/>
      <c r="AI94" s="4"/>
      <c r="AJ94" s="4"/>
      <c r="AK94" s="4"/>
      <c r="AL94" s="4"/>
      <c r="AM94" s="4"/>
      <c r="AN94" s="4"/>
    </row>
    <row r="95" spans="1:40" x14ac:dyDescent="0.2">
      <c r="A95" s="4"/>
      <c r="S95" s="113"/>
      <c r="T95" s="4"/>
      <c r="U95" s="4"/>
      <c r="V95" s="4"/>
      <c r="W95" s="4"/>
      <c r="X95" s="4"/>
      <c r="Y95" s="4"/>
      <c r="Z95" s="4"/>
      <c r="AA95" s="4"/>
      <c r="AB95" s="4"/>
      <c r="AC95" s="4"/>
      <c r="AD95" s="4"/>
      <c r="AE95" s="4"/>
      <c r="AF95" s="4"/>
      <c r="AG95" s="4"/>
      <c r="AH95" s="4"/>
      <c r="AI95" s="4"/>
      <c r="AJ95" s="4"/>
      <c r="AK95" s="4"/>
      <c r="AL95" s="4"/>
      <c r="AM95" s="4"/>
      <c r="AN95" s="4"/>
    </row>
    <row r="96" spans="1:40" x14ac:dyDescent="0.2">
      <c r="A96" s="4"/>
      <c r="S96" s="113"/>
      <c r="T96" s="4"/>
      <c r="U96" s="4"/>
      <c r="V96" s="4"/>
      <c r="W96" s="4"/>
      <c r="X96" s="4"/>
      <c r="Y96" s="4"/>
      <c r="Z96" s="4"/>
      <c r="AA96" s="4"/>
      <c r="AB96" s="4"/>
      <c r="AC96" s="4"/>
      <c r="AD96" s="4"/>
      <c r="AE96" s="4"/>
      <c r="AF96" s="4"/>
      <c r="AG96" s="4"/>
      <c r="AH96" s="4"/>
      <c r="AI96" s="4"/>
      <c r="AJ96" s="4"/>
      <c r="AK96" s="4"/>
      <c r="AL96" s="4"/>
      <c r="AM96" s="4"/>
      <c r="AN96" s="4"/>
    </row>
    <row r="97" spans="1:40" x14ac:dyDescent="0.2">
      <c r="A97" s="4"/>
      <c r="S97" s="113"/>
      <c r="T97" s="4"/>
      <c r="U97" s="4"/>
      <c r="V97" s="4"/>
      <c r="W97" s="4"/>
      <c r="X97" s="4"/>
      <c r="Y97" s="4"/>
      <c r="Z97" s="4"/>
      <c r="AA97" s="4"/>
      <c r="AB97" s="4"/>
      <c r="AC97" s="4"/>
      <c r="AD97" s="4"/>
      <c r="AE97" s="4"/>
      <c r="AF97" s="4"/>
      <c r="AG97" s="4"/>
      <c r="AH97" s="4"/>
      <c r="AI97" s="4"/>
      <c r="AJ97" s="4"/>
      <c r="AK97" s="4"/>
      <c r="AL97" s="4"/>
      <c r="AM97" s="4"/>
      <c r="AN97" s="4"/>
    </row>
    <row r="98" spans="1:40" x14ac:dyDescent="0.2">
      <c r="A98" s="4"/>
      <c r="S98" s="113"/>
      <c r="T98" s="4"/>
      <c r="U98" s="4"/>
      <c r="V98" s="4"/>
      <c r="W98" s="4"/>
      <c r="X98" s="4"/>
      <c r="Y98" s="4"/>
      <c r="Z98" s="4"/>
      <c r="AA98" s="4"/>
      <c r="AB98" s="4"/>
      <c r="AC98" s="4"/>
      <c r="AD98" s="4"/>
      <c r="AE98" s="4"/>
      <c r="AF98" s="4"/>
      <c r="AG98" s="4"/>
      <c r="AH98" s="4"/>
      <c r="AI98" s="4"/>
      <c r="AJ98" s="4"/>
      <c r="AK98" s="4"/>
      <c r="AL98" s="4"/>
      <c r="AM98" s="4"/>
      <c r="AN98" s="4"/>
    </row>
    <row r="99" spans="1:40" x14ac:dyDescent="0.2">
      <c r="A99" s="4"/>
      <c r="S99" s="113"/>
      <c r="T99" s="4"/>
      <c r="U99" s="4"/>
      <c r="V99" s="4"/>
      <c r="W99" s="4"/>
      <c r="X99" s="4"/>
      <c r="Y99" s="4"/>
      <c r="Z99" s="4"/>
      <c r="AA99" s="4"/>
      <c r="AB99" s="4"/>
      <c r="AC99" s="4"/>
      <c r="AD99" s="4"/>
      <c r="AE99" s="4"/>
      <c r="AF99" s="4"/>
      <c r="AG99" s="4"/>
      <c r="AH99" s="4"/>
      <c r="AI99" s="4"/>
      <c r="AJ99" s="4"/>
      <c r="AK99" s="4"/>
      <c r="AL99" s="4"/>
      <c r="AM99" s="4"/>
      <c r="AN99" s="4"/>
    </row>
    <row r="100" spans="1:40" x14ac:dyDescent="0.2">
      <c r="A100" s="4"/>
      <c r="S100" s="113"/>
      <c r="T100" s="4"/>
      <c r="U100" s="4"/>
      <c r="V100" s="4"/>
      <c r="W100" s="4"/>
      <c r="X100" s="4"/>
      <c r="Y100" s="4"/>
      <c r="Z100" s="4"/>
      <c r="AA100" s="4"/>
      <c r="AB100" s="4"/>
      <c r="AC100" s="4"/>
      <c r="AD100" s="4"/>
      <c r="AE100" s="4"/>
      <c r="AF100" s="4"/>
      <c r="AG100" s="4"/>
      <c r="AH100" s="4"/>
      <c r="AI100" s="4"/>
      <c r="AJ100" s="4"/>
      <c r="AK100" s="4"/>
      <c r="AL100" s="4"/>
      <c r="AM100" s="4"/>
      <c r="AN100" s="4"/>
    </row>
    <row r="101" spans="1:40" x14ac:dyDescent="0.2">
      <c r="A101" s="4"/>
      <c r="S101" s="113"/>
      <c r="T101" s="4"/>
      <c r="U101" s="4"/>
      <c r="V101" s="4"/>
      <c r="W101" s="4"/>
      <c r="X101" s="4"/>
      <c r="Y101" s="4"/>
      <c r="Z101" s="4"/>
      <c r="AA101" s="4"/>
      <c r="AB101" s="4"/>
      <c r="AC101" s="4"/>
      <c r="AD101" s="4"/>
      <c r="AE101" s="4"/>
      <c r="AF101" s="4"/>
      <c r="AG101" s="4"/>
      <c r="AH101" s="4"/>
      <c r="AI101" s="4"/>
      <c r="AJ101" s="4"/>
      <c r="AK101" s="4"/>
      <c r="AL101" s="4"/>
      <c r="AM101" s="4"/>
      <c r="AN101" s="4"/>
    </row>
    <row r="102" spans="1:40" x14ac:dyDescent="0.2">
      <c r="A102" s="4"/>
      <c r="S102" s="113"/>
      <c r="T102" s="4"/>
      <c r="U102" s="4"/>
      <c r="V102" s="4"/>
      <c r="W102" s="4"/>
      <c r="X102" s="4"/>
      <c r="Y102" s="4"/>
      <c r="Z102" s="4"/>
      <c r="AA102" s="4"/>
      <c r="AB102" s="4"/>
      <c r="AC102" s="4"/>
      <c r="AD102" s="4"/>
      <c r="AE102" s="4"/>
      <c r="AF102" s="4"/>
      <c r="AG102" s="4"/>
      <c r="AH102" s="4"/>
      <c r="AI102" s="4"/>
      <c r="AJ102" s="4"/>
      <c r="AK102" s="4"/>
      <c r="AL102" s="4"/>
      <c r="AM102" s="4"/>
      <c r="AN102" s="4"/>
    </row>
    <row r="103" spans="1:40" x14ac:dyDescent="0.2">
      <c r="A103" s="4"/>
      <c r="S103" s="113"/>
      <c r="T103" s="4"/>
      <c r="U103" s="4"/>
      <c r="V103" s="4"/>
      <c r="W103" s="4"/>
      <c r="X103" s="4"/>
      <c r="Y103" s="4"/>
      <c r="Z103" s="4"/>
      <c r="AA103" s="4"/>
      <c r="AB103" s="4"/>
      <c r="AC103" s="4"/>
      <c r="AD103" s="4"/>
      <c r="AE103" s="4"/>
      <c r="AF103" s="4"/>
      <c r="AG103" s="4"/>
      <c r="AH103" s="4"/>
      <c r="AI103" s="4"/>
      <c r="AJ103" s="4"/>
      <c r="AK103" s="4"/>
      <c r="AL103" s="4"/>
      <c r="AM103" s="4"/>
      <c r="AN103" s="4"/>
    </row>
    <row r="104" spans="1:40" x14ac:dyDescent="0.2">
      <c r="A104" s="4"/>
      <c r="S104" s="113"/>
      <c r="T104" s="4"/>
      <c r="U104" s="4"/>
      <c r="V104" s="4"/>
      <c r="W104" s="4"/>
      <c r="X104" s="4"/>
      <c r="Y104" s="4"/>
      <c r="Z104" s="4"/>
      <c r="AA104" s="4"/>
      <c r="AB104" s="4"/>
      <c r="AC104" s="4"/>
      <c r="AD104" s="4"/>
      <c r="AE104" s="4"/>
      <c r="AF104" s="4"/>
      <c r="AG104" s="4"/>
      <c r="AH104" s="4"/>
      <c r="AI104" s="4"/>
      <c r="AJ104" s="4"/>
      <c r="AK104" s="4"/>
      <c r="AL104" s="4"/>
      <c r="AM104" s="4"/>
      <c r="AN104" s="4"/>
    </row>
    <row r="105" spans="1:40" x14ac:dyDescent="0.2">
      <c r="A105" s="4"/>
      <c r="S105" s="113"/>
      <c r="T105" s="4"/>
      <c r="U105" s="4"/>
      <c r="V105" s="4"/>
      <c r="W105" s="4"/>
      <c r="X105" s="4"/>
      <c r="Y105" s="4"/>
      <c r="Z105" s="4"/>
      <c r="AA105" s="4"/>
      <c r="AB105" s="4"/>
      <c r="AC105" s="4"/>
      <c r="AD105" s="4"/>
      <c r="AE105" s="4"/>
      <c r="AF105" s="4"/>
      <c r="AG105" s="4"/>
      <c r="AH105" s="4"/>
      <c r="AI105" s="4"/>
      <c r="AJ105" s="4"/>
      <c r="AK105" s="4"/>
      <c r="AL105" s="4"/>
      <c r="AM105" s="4"/>
      <c r="AN105" s="4"/>
    </row>
    <row r="106" spans="1:40" x14ac:dyDescent="0.2">
      <c r="A106" s="4"/>
      <c r="S106" s="113"/>
      <c r="T106" s="4"/>
      <c r="U106" s="4"/>
      <c r="V106" s="4"/>
      <c r="W106" s="4"/>
      <c r="X106" s="4"/>
      <c r="Y106" s="4"/>
      <c r="Z106" s="4"/>
      <c r="AA106" s="4"/>
      <c r="AB106" s="4"/>
      <c r="AC106" s="4"/>
      <c r="AD106" s="4"/>
      <c r="AE106" s="4"/>
      <c r="AF106" s="4"/>
      <c r="AG106" s="4"/>
      <c r="AH106" s="4"/>
      <c r="AI106" s="4"/>
      <c r="AJ106" s="4"/>
      <c r="AK106" s="4"/>
      <c r="AL106" s="4"/>
      <c r="AM106" s="4"/>
      <c r="AN106" s="4"/>
    </row>
    <row r="107" spans="1:40" x14ac:dyDescent="0.2">
      <c r="A107" s="4"/>
      <c r="S107" s="113"/>
      <c r="T107" s="4"/>
      <c r="U107" s="4"/>
      <c r="V107" s="4"/>
      <c r="W107" s="4"/>
      <c r="X107" s="4"/>
      <c r="Y107" s="4"/>
      <c r="Z107" s="4"/>
      <c r="AA107" s="4"/>
      <c r="AB107" s="4"/>
      <c r="AC107" s="4"/>
      <c r="AD107" s="4"/>
      <c r="AE107" s="4"/>
      <c r="AF107" s="4"/>
      <c r="AG107" s="4"/>
      <c r="AH107" s="4"/>
      <c r="AI107" s="4"/>
      <c r="AJ107" s="4"/>
      <c r="AK107" s="4"/>
      <c r="AL107" s="4"/>
      <c r="AM107" s="4"/>
      <c r="AN107" s="4"/>
    </row>
    <row r="108" spans="1:40" x14ac:dyDescent="0.2">
      <c r="A108" s="4"/>
      <c r="S108" s="113"/>
      <c r="T108" s="4"/>
      <c r="U108" s="4"/>
      <c r="V108" s="4"/>
      <c r="W108" s="4"/>
      <c r="X108" s="4"/>
      <c r="Y108" s="4"/>
      <c r="Z108" s="4"/>
      <c r="AA108" s="4"/>
      <c r="AB108" s="4"/>
      <c r="AC108" s="4"/>
      <c r="AD108" s="4"/>
      <c r="AE108" s="4"/>
      <c r="AF108" s="4"/>
      <c r="AG108" s="4"/>
      <c r="AH108" s="4"/>
      <c r="AI108" s="4"/>
      <c r="AJ108" s="4"/>
      <c r="AK108" s="4"/>
      <c r="AL108" s="4"/>
      <c r="AM108" s="4"/>
      <c r="AN108" s="4"/>
    </row>
    <row r="109" spans="1:40" x14ac:dyDescent="0.2">
      <c r="A109" s="4"/>
      <c r="S109" s="113"/>
      <c r="T109" s="4"/>
      <c r="U109" s="4"/>
      <c r="V109" s="4"/>
      <c r="W109" s="4"/>
      <c r="X109" s="4"/>
      <c r="Y109" s="4"/>
      <c r="Z109" s="4"/>
      <c r="AA109" s="4"/>
      <c r="AB109" s="4"/>
      <c r="AC109" s="4"/>
      <c r="AD109" s="4"/>
      <c r="AE109" s="4"/>
      <c r="AF109" s="4"/>
      <c r="AG109" s="4"/>
      <c r="AH109" s="4"/>
      <c r="AI109" s="4"/>
      <c r="AJ109" s="4"/>
      <c r="AK109" s="4"/>
      <c r="AL109" s="4"/>
      <c r="AM109" s="4"/>
      <c r="AN109" s="4"/>
    </row>
    <row r="110" spans="1:40" x14ac:dyDescent="0.2">
      <c r="A110" s="4"/>
      <c r="S110" s="113"/>
      <c r="T110" s="4"/>
      <c r="U110" s="4"/>
      <c r="V110" s="4"/>
      <c r="W110" s="4"/>
      <c r="X110" s="4"/>
      <c r="Y110" s="4"/>
      <c r="Z110" s="4"/>
      <c r="AA110" s="4"/>
      <c r="AB110" s="4"/>
      <c r="AC110" s="4"/>
      <c r="AD110" s="4"/>
      <c r="AE110" s="4"/>
      <c r="AF110" s="4"/>
      <c r="AG110" s="4"/>
      <c r="AH110" s="4"/>
      <c r="AI110" s="4"/>
      <c r="AJ110" s="4"/>
      <c r="AK110" s="4"/>
      <c r="AL110" s="4"/>
      <c r="AM110" s="4"/>
      <c r="AN110" s="4"/>
    </row>
    <row r="111" spans="1:40" x14ac:dyDescent="0.2">
      <c r="A111" s="4"/>
      <c r="S111" s="113"/>
      <c r="T111" s="4"/>
      <c r="U111" s="4"/>
      <c r="V111" s="4"/>
      <c r="W111" s="4"/>
      <c r="X111" s="4"/>
      <c r="Y111" s="4"/>
      <c r="Z111" s="4"/>
      <c r="AA111" s="4"/>
      <c r="AB111" s="4"/>
      <c r="AC111" s="4"/>
      <c r="AD111" s="4"/>
      <c r="AE111" s="4"/>
      <c r="AF111" s="4"/>
      <c r="AG111" s="4"/>
      <c r="AH111" s="4"/>
      <c r="AI111" s="4"/>
      <c r="AJ111" s="4"/>
      <c r="AK111" s="4"/>
      <c r="AL111" s="4"/>
      <c r="AM111" s="4"/>
      <c r="AN111" s="4"/>
    </row>
    <row r="112" spans="1:40" x14ac:dyDescent="0.2">
      <c r="A112" s="4"/>
      <c r="S112" s="113"/>
      <c r="T112" s="4"/>
      <c r="U112" s="4"/>
      <c r="V112" s="4"/>
      <c r="W112" s="4"/>
      <c r="X112" s="4"/>
      <c r="Y112" s="4"/>
      <c r="Z112" s="4"/>
      <c r="AA112" s="4"/>
      <c r="AB112" s="4"/>
      <c r="AC112" s="4"/>
      <c r="AD112" s="4"/>
      <c r="AE112" s="4"/>
      <c r="AF112" s="4"/>
      <c r="AG112" s="4"/>
      <c r="AH112" s="4"/>
      <c r="AI112" s="4"/>
      <c r="AJ112" s="4"/>
      <c r="AK112" s="4"/>
      <c r="AL112" s="4"/>
      <c r="AM112" s="4"/>
      <c r="AN112" s="4"/>
    </row>
    <row r="113" spans="1:40" x14ac:dyDescent="0.2">
      <c r="A113" s="4"/>
      <c r="S113" s="113"/>
      <c r="T113" s="4"/>
      <c r="U113" s="4"/>
      <c r="V113" s="4"/>
      <c r="W113" s="4"/>
      <c r="X113" s="4"/>
      <c r="Y113" s="4"/>
      <c r="Z113" s="4"/>
      <c r="AA113" s="4"/>
      <c r="AB113" s="4"/>
      <c r="AC113" s="4"/>
      <c r="AD113" s="4"/>
      <c r="AE113" s="4"/>
      <c r="AF113" s="4"/>
      <c r="AG113" s="4"/>
      <c r="AH113" s="4"/>
      <c r="AI113" s="4"/>
      <c r="AJ113" s="4"/>
      <c r="AK113" s="4"/>
      <c r="AL113" s="4"/>
      <c r="AM113" s="4"/>
      <c r="AN113" s="4"/>
    </row>
    <row r="114" spans="1:40" x14ac:dyDescent="0.2">
      <c r="A114" s="4"/>
      <c r="S114" s="113"/>
      <c r="T114" s="4"/>
      <c r="U114" s="4"/>
      <c r="V114" s="4"/>
      <c r="W114" s="4"/>
      <c r="X114" s="4"/>
      <c r="Y114" s="4"/>
      <c r="Z114" s="4"/>
      <c r="AA114" s="4"/>
      <c r="AB114" s="4"/>
      <c r="AC114" s="4"/>
      <c r="AD114" s="4"/>
      <c r="AE114" s="4"/>
      <c r="AF114" s="4"/>
      <c r="AG114" s="4"/>
      <c r="AH114" s="4"/>
      <c r="AI114" s="4"/>
      <c r="AJ114" s="4"/>
      <c r="AK114" s="4"/>
      <c r="AL114" s="4"/>
      <c r="AM114" s="4"/>
      <c r="AN114" s="4"/>
    </row>
    <row r="115" spans="1:40" x14ac:dyDescent="0.2">
      <c r="A115" s="4"/>
      <c r="S115" s="113"/>
      <c r="T115" s="4"/>
      <c r="U115" s="4"/>
      <c r="V115" s="4"/>
      <c r="W115" s="4"/>
      <c r="X115" s="4"/>
      <c r="Y115" s="4"/>
      <c r="Z115" s="4"/>
      <c r="AA115" s="4"/>
      <c r="AB115" s="4"/>
      <c r="AC115" s="4"/>
      <c r="AD115" s="4"/>
      <c r="AE115" s="4"/>
      <c r="AF115" s="4"/>
      <c r="AG115" s="4"/>
      <c r="AH115" s="4"/>
      <c r="AI115" s="4"/>
      <c r="AJ115" s="4"/>
      <c r="AK115" s="4"/>
      <c r="AL115" s="4"/>
      <c r="AM115" s="4"/>
      <c r="AN115" s="4"/>
    </row>
    <row r="116" spans="1:40" x14ac:dyDescent="0.2">
      <c r="A116" s="4"/>
      <c r="S116" s="113"/>
      <c r="T116" s="4"/>
      <c r="U116" s="4"/>
      <c r="V116" s="4"/>
      <c r="W116" s="4"/>
      <c r="X116" s="4"/>
      <c r="Y116" s="4"/>
      <c r="Z116" s="4"/>
      <c r="AA116" s="4"/>
      <c r="AB116" s="4"/>
      <c r="AC116" s="4"/>
      <c r="AD116" s="4"/>
      <c r="AE116" s="4"/>
      <c r="AF116" s="4"/>
      <c r="AG116" s="4"/>
      <c r="AH116" s="4"/>
      <c r="AI116" s="4"/>
      <c r="AJ116" s="4"/>
      <c r="AK116" s="4"/>
      <c r="AL116" s="4"/>
      <c r="AM116" s="4"/>
      <c r="AN116" s="4"/>
    </row>
    <row r="117" spans="1:40" x14ac:dyDescent="0.2">
      <c r="A117" s="4"/>
      <c r="S117" s="113"/>
      <c r="T117" s="4"/>
      <c r="U117" s="4"/>
      <c r="V117" s="4"/>
      <c r="W117" s="4"/>
      <c r="X117" s="4"/>
      <c r="Y117" s="4"/>
      <c r="Z117" s="4"/>
      <c r="AA117" s="4"/>
      <c r="AB117" s="4"/>
      <c r="AC117" s="4"/>
      <c r="AD117" s="4"/>
      <c r="AE117" s="4"/>
      <c r="AF117" s="4"/>
      <c r="AG117" s="4"/>
      <c r="AH117" s="4"/>
      <c r="AI117" s="4"/>
      <c r="AJ117" s="4"/>
      <c r="AK117" s="4"/>
      <c r="AL117" s="4"/>
      <c r="AM117" s="4"/>
      <c r="AN117" s="4"/>
    </row>
    <row r="118" spans="1:40" x14ac:dyDescent="0.2">
      <c r="A118" s="4"/>
      <c r="S118" s="113"/>
      <c r="T118" s="4"/>
      <c r="U118" s="4"/>
      <c r="V118" s="4"/>
      <c r="W118" s="4"/>
      <c r="X118" s="4"/>
      <c r="Y118" s="4"/>
      <c r="Z118" s="4"/>
      <c r="AA118" s="4"/>
      <c r="AB118" s="4"/>
      <c r="AC118" s="4"/>
      <c r="AD118" s="4"/>
      <c r="AE118" s="4"/>
      <c r="AF118" s="4"/>
      <c r="AG118" s="4"/>
      <c r="AH118" s="4"/>
      <c r="AI118" s="4"/>
      <c r="AJ118" s="4"/>
      <c r="AK118" s="4"/>
      <c r="AL118" s="4"/>
      <c r="AM118" s="4"/>
      <c r="AN118" s="4"/>
    </row>
    <row r="119" spans="1:40" x14ac:dyDescent="0.2">
      <c r="A119" s="4"/>
      <c r="S119" s="113"/>
      <c r="T119" s="4"/>
      <c r="U119" s="4"/>
      <c r="V119" s="4"/>
      <c r="W119" s="4"/>
      <c r="X119" s="4"/>
      <c r="Y119" s="4"/>
      <c r="Z119" s="4"/>
      <c r="AA119" s="4"/>
      <c r="AB119" s="4"/>
      <c r="AC119" s="4"/>
      <c r="AD119" s="4"/>
      <c r="AE119" s="4"/>
      <c r="AF119" s="4"/>
      <c r="AG119" s="4"/>
      <c r="AH119" s="4"/>
      <c r="AI119" s="4"/>
      <c r="AJ119" s="4"/>
      <c r="AK119" s="4"/>
      <c r="AL119" s="4"/>
      <c r="AM119" s="4"/>
      <c r="AN119" s="4"/>
    </row>
    <row r="120" spans="1:40" x14ac:dyDescent="0.2">
      <c r="A120" s="4"/>
      <c r="S120" s="113"/>
      <c r="T120" s="4"/>
      <c r="U120" s="4"/>
      <c r="V120" s="4"/>
      <c r="W120" s="4"/>
      <c r="X120" s="4"/>
      <c r="Y120" s="4"/>
      <c r="Z120" s="4"/>
      <c r="AA120" s="4"/>
      <c r="AB120" s="4"/>
      <c r="AC120" s="4"/>
      <c r="AD120" s="4"/>
      <c r="AE120" s="4"/>
      <c r="AF120" s="4"/>
      <c r="AG120" s="4"/>
      <c r="AH120" s="4"/>
      <c r="AI120" s="4"/>
      <c r="AJ120" s="4"/>
      <c r="AK120" s="4"/>
      <c r="AL120" s="4"/>
      <c r="AM120" s="4"/>
      <c r="AN120" s="4"/>
    </row>
    <row r="121" spans="1:40" x14ac:dyDescent="0.2">
      <c r="A121" s="4"/>
      <c r="S121" s="113"/>
      <c r="T121" s="4"/>
      <c r="U121" s="4"/>
      <c r="V121" s="4"/>
      <c r="W121" s="4"/>
      <c r="X121" s="4"/>
      <c r="Y121" s="4"/>
      <c r="Z121" s="4"/>
      <c r="AA121" s="4"/>
      <c r="AB121" s="4"/>
      <c r="AC121" s="4"/>
      <c r="AD121" s="4"/>
      <c r="AE121" s="4"/>
      <c r="AF121" s="4"/>
      <c r="AG121" s="4"/>
      <c r="AH121" s="4"/>
      <c r="AI121" s="4"/>
      <c r="AJ121" s="4"/>
      <c r="AK121" s="4"/>
      <c r="AL121" s="4"/>
      <c r="AM121" s="4"/>
      <c r="AN121" s="4"/>
    </row>
    <row r="122" spans="1:40" x14ac:dyDescent="0.2">
      <c r="A122" s="4"/>
      <c r="S122" s="113"/>
      <c r="T122" s="4"/>
      <c r="U122" s="4"/>
      <c r="V122" s="4"/>
      <c r="W122" s="4"/>
      <c r="X122" s="4"/>
      <c r="Y122" s="4"/>
      <c r="Z122" s="4"/>
      <c r="AA122" s="4"/>
      <c r="AB122" s="4"/>
      <c r="AC122" s="4"/>
      <c r="AD122" s="4"/>
      <c r="AE122" s="4"/>
      <c r="AF122" s="4"/>
      <c r="AG122" s="4"/>
      <c r="AH122" s="4"/>
      <c r="AI122" s="4"/>
      <c r="AJ122" s="4"/>
      <c r="AK122" s="4"/>
      <c r="AL122" s="4"/>
      <c r="AM122" s="4"/>
      <c r="AN122" s="4"/>
    </row>
    <row r="123" spans="1:40" x14ac:dyDescent="0.2">
      <c r="A123" s="4"/>
      <c r="S123" s="113"/>
      <c r="T123" s="4"/>
      <c r="U123" s="4"/>
      <c r="V123" s="4"/>
      <c r="W123" s="4"/>
      <c r="X123" s="4"/>
      <c r="Y123" s="4"/>
      <c r="Z123" s="4"/>
      <c r="AA123" s="4"/>
      <c r="AB123" s="4"/>
      <c r="AC123" s="4"/>
      <c r="AD123" s="4"/>
      <c r="AE123" s="4"/>
      <c r="AF123" s="4"/>
      <c r="AG123" s="4"/>
      <c r="AH123" s="4"/>
      <c r="AI123" s="4"/>
      <c r="AJ123" s="4"/>
      <c r="AK123" s="4"/>
      <c r="AL123" s="4"/>
      <c r="AM123" s="4"/>
      <c r="AN123" s="4"/>
    </row>
    <row r="124" spans="1:40" x14ac:dyDescent="0.2">
      <c r="A124" s="4"/>
      <c r="S124" s="113"/>
      <c r="T124" s="4"/>
      <c r="U124" s="4"/>
      <c r="V124" s="4"/>
      <c r="W124" s="4"/>
      <c r="X124" s="4"/>
      <c r="Y124" s="4"/>
      <c r="Z124" s="4"/>
      <c r="AA124" s="4"/>
      <c r="AB124" s="4"/>
      <c r="AC124" s="4"/>
      <c r="AD124" s="4"/>
      <c r="AE124" s="4"/>
      <c r="AF124" s="4"/>
      <c r="AG124" s="4"/>
      <c r="AH124" s="4"/>
      <c r="AI124" s="4"/>
      <c r="AJ124" s="4"/>
      <c r="AK124" s="4"/>
      <c r="AL124" s="4"/>
      <c r="AM124" s="4"/>
      <c r="AN124" s="4"/>
    </row>
    <row r="125" spans="1:40" x14ac:dyDescent="0.2">
      <c r="A125" s="4"/>
      <c r="S125" s="113"/>
      <c r="T125" s="4"/>
      <c r="U125" s="4"/>
      <c r="V125" s="4"/>
      <c r="W125" s="4"/>
      <c r="X125" s="4"/>
      <c r="Y125" s="4"/>
      <c r="Z125" s="4"/>
      <c r="AA125" s="4"/>
      <c r="AB125" s="4"/>
      <c r="AC125" s="4"/>
      <c r="AD125" s="4"/>
      <c r="AE125" s="4"/>
      <c r="AF125" s="4"/>
      <c r="AG125" s="4"/>
      <c r="AH125" s="4"/>
      <c r="AI125" s="4"/>
      <c r="AJ125" s="4"/>
      <c r="AK125" s="4"/>
      <c r="AL125" s="4"/>
      <c r="AM125" s="4"/>
      <c r="AN125" s="4"/>
    </row>
    <row r="126" spans="1:40" x14ac:dyDescent="0.2">
      <c r="A126" s="4"/>
      <c r="S126" s="113"/>
      <c r="T126" s="4"/>
      <c r="U126" s="4"/>
      <c r="V126" s="4"/>
      <c r="W126" s="4"/>
      <c r="X126" s="4"/>
      <c r="Y126" s="4"/>
      <c r="Z126" s="4"/>
      <c r="AA126" s="4"/>
      <c r="AB126" s="4"/>
      <c r="AC126" s="4"/>
      <c r="AD126" s="4"/>
      <c r="AE126" s="4"/>
      <c r="AF126" s="4"/>
      <c r="AG126" s="4"/>
      <c r="AH126" s="4"/>
      <c r="AI126" s="4"/>
      <c r="AJ126" s="4"/>
      <c r="AK126" s="4"/>
      <c r="AL126" s="4"/>
      <c r="AM126" s="4"/>
      <c r="AN126" s="4"/>
    </row>
    <row r="127" spans="1:40" x14ac:dyDescent="0.2">
      <c r="A127" s="4"/>
      <c r="S127" s="113"/>
      <c r="T127" s="4"/>
      <c r="U127" s="4"/>
      <c r="V127" s="4"/>
      <c r="W127" s="4"/>
      <c r="X127" s="4"/>
      <c r="Y127" s="4"/>
      <c r="Z127" s="4"/>
      <c r="AA127" s="4"/>
      <c r="AB127" s="4"/>
      <c r="AC127" s="4"/>
      <c r="AD127" s="4"/>
      <c r="AE127" s="4"/>
      <c r="AF127" s="4"/>
      <c r="AG127" s="4"/>
      <c r="AH127" s="4"/>
      <c r="AI127" s="4"/>
      <c r="AJ127" s="4"/>
      <c r="AK127" s="4"/>
      <c r="AL127" s="4"/>
      <c r="AM127" s="4"/>
      <c r="AN127" s="4"/>
    </row>
    <row r="128" spans="1:40" x14ac:dyDescent="0.2">
      <c r="A128" s="4"/>
      <c r="S128" s="113"/>
      <c r="T128" s="4"/>
      <c r="U128" s="4"/>
      <c r="V128" s="4"/>
      <c r="W128" s="4"/>
      <c r="X128" s="4"/>
      <c r="Y128" s="4"/>
      <c r="Z128" s="4"/>
      <c r="AA128" s="4"/>
      <c r="AB128" s="4"/>
      <c r="AC128" s="4"/>
      <c r="AD128" s="4"/>
      <c r="AE128" s="4"/>
      <c r="AF128" s="4"/>
      <c r="AG128" s="4"/>
      <c r="AH128" s="4"/>
      <c r="AI128" s="4"/>
      <c r="AJ128" s="4"/>
      <c r="AK128" s="4"/>
      <c r="AL128" s="4"/>
      <c r="AM128" s="4"/>
      <c r="AN128" s="4"/>
    </row>
    <row r="129" spans="1:40" x14ac:dyDescent="0.2">
      <c r="A129" s="4"/>
      <c r="S129" s="113"/>
      <c r="T129" s="4"/>
      <c r="U129" s="4"/>
      <c r="V129" s="4"/>
      <c r="W129" s="4"/>
      <c r="X129" s="4"/>
      <c r="Y129" s="4"/>
      <c r="Z129" s="4"/>
      <c r="AA129" s="4"/>
      <c r="AB129" s="4"/>
      <c r="AC129" s="4"/>
      <c r="AD129" s="4"/>
      <c r="AE129" s="4"/>
      <c r="AF129" s="4"/>
      <c r="AG129" s="4"/>
      <c r="AH129" s="4"/>
      <c r="AI129" s="4"/>
      <c r="AJ129" s="4"/>
      <c r="AK129" s="4"/>
      <c r="AL129" s="4"/>
      <c r="AM129" s="4"/>
      <c r="AN129" s="4"/>
    </row>
    <row r="130" spans="1:40" x14ac:dyDescent="0.2">
      <c r="A130" s="4"/>
      <c r="S130" s="113"/>
      <c r="T130" s="4"/>
      <c r="U130" s="4"/>
      <c r="V130" s="4"/>
      <c r="W130" s="4"/>
      <c r="X130" s="4"/>
      <c r="Y130" s="4"/>
      <c r="Z130" s="4"/>
      <c r="AA130" s="4"/>
      <c r="AB130" s="4"/>
      <c r="AC130" s="4"/>
      <c r="AD130" s="4"/>
      <c r="AE130" s="4"/>
      <c r="AF130" s="4"/>
      <c r="AG130" s="4"/>
      <c r="AH130" s="4"/>
      <c r="AI130" s="4"/>
      <c r="AJ130" s="4"/>
      <c r="AK130" s="4"/>
      <c r="AL130" s="4"/>
      <c r="AM130" s="4"/>
      <c r="AN130" s="4"/>
    </row>
    <row r="131" spans="1:40" x14ac:dyDescent="0.2">
      <c r="A131" s="4"/>
      <c r="S131" s="113"/>
      <c r="T131" s="4"/>
      <c r="U131" s="4"/>
      <c r="V131" s="4"/>
      <c r="W131" s="4"/>
      <c r="X131" s="4"/>
      <c r="Y131" s="4"/>
      <c r="Z131" s="4"/>
      <c r="AA131" s="4"/>
      <c r="AB131" s="4"/>
      <c r="AC131" s="4"/>
      <c r="AD131" s="4"/>
      <c r="AE131" s="4"/>
      <c r="AF131" s="4"/>
      <c r="AG131" s="4"/>
      <c r="AH131" s="4"/>
      <c r="AI131" s="4"/>
      <c r="AJ131" s="4"/>
      <c r="AK131" s="4"/>
      <c r="AL131" s="4"/>
      <c r="AM131" s="4"/>
      <c r="AN131" s="4"/>
    </row>
    <row r="132" spans="1:40" x14ac:dyDescent="0.2">
      <c r="A132" s="4"/>
      <c r="S132" s="113"/>
      <c r="T132" s="4"/>
      <c r="U132" s="4"/>
      <c r="V132" s="4"/>
      <c r="W132" s="4"/>
      <c r="X132" s="4"/>
      <c r="Y132" s="4"/>
      <c r="Z132" s="4"/>
      <c r="AA132" s="4"/>
      <c r="AB132" s="4"/>
      <c r="AC132" s="4"/>
      <c r="AD132" s="4"/>
      <c r="AE132" s="4"/>
      <c r="AF132" s="4"/>
      <c r="AG132" s="4"/>
      <c r="AH132" s="4"/>
      <c r="AI132" s="4"/>
      <c r="AJ132" s="4"/>
      <c r="AK132" s="4"/>
      <c r="AL132" s="4"/>
      <c r="AM132" s="4"/>
      <c r="AN132" s="4"/>
    </row>
    <row r="133" spans="1:40" x14ac:dyDescent="0.2">
      <c r="A133" s="4"/>
      <c r="S133" s="113"/>
      <c r="T133" s="4"/>
      <c r="U133" s="4"/>
      <c r="V133" s="4"/>
      <c r="W133" s="4"/>
      <c r="X133" s="4"/>
      <c r="Y133" s="4"/>
      <c r="Z133" s="4"/>
      <c r="AA133" s="4"/>
      <c r="AB133" s="4"/>
      <c r="AC133" s="4"/>
      <c r="AD133" s="4"/>
      <c r="AE133" s="4"/>
      <c r="AF133" s="4"/>
      <c r="AG133" s="4"/>
      <c r="AH133" s="4"/>
      <c r="AI133" s="4"/>
      <c r="AJ133" s="4"/>
      <c r="AK133" s="4"/>
      <c r="AL133" s="4"/>
      <c r="AM133" s="4"/>
      <c r="AN133" s="4"/>
    </row>
    <row r="134" spans="1:40" x14ac:dyDescent="0.2">
      <c r="A134" s="4"/>
      <c r="S134" s="113"/>
      <c r="T134" s="4"/>
      <c r="U134" s="4"/>
      <c r="V134" s="4"/>
      <c r="W134" s="4"/>
      <c r="X134" s="4"/>
      <c r="Y134" s="4"/>
      <c r="Z134" s="4"/>
      <c r="AA134" s="4"/>
      <c r="AB134" s="4"/>
      <c r="AC134" s="4"/>
      <c r="AD134" s="4"/>
      <c r="AE134" s="4"/>
      <c r="AF134" s="4"/>
      <c r="AG134" s="4"/>
      <c r="AH134" s="4"/>
      <c r="AI134" s="4"/>
      <c r="AJ134" s="4"/>
      <c r="AK134" s="4"/>
      <c r="AL134" s="4"/>
      <c r="AM134" s="4"/>
      <c r="AN134" s="4"/>
    </row>
    <row r="135" spans="1:40" x14ac:dyDescent="0.2">
      <c r="A135" s="4"/>
      <c r="S135" s="113"/>
      <c r="T135" s="4"/>
      <c r="U135" s="4"/>
      <c r="V135" s="4"/>
      <c r="W135" s="4"/>
      <c r="X135" s="4"/>
      <c r="Y135" s="4"/>
      <c r="Z135" s="4"/>
      <c r="AA135" s="4"/>
      <c r="AB135" s="4"/>
      <c r="AC135" s="4"/>
      <c r="AD135" s="4"/>
      <c r="AE135" s="4"/>
      <c r="AF135" s="4"/>
      <c r="AG135" s="4"/>
      <c r="AH135" s="4"/>
      <c r="AI135" s="4"/>
      <c r="AJ135" s="4"/>
      <c r="AK135" s="4"/>
      <c r="AL135" s="4"/>
      <c r="AM135" s="4"/>
      <c r="AN135" s="4"/>
    </row>
    <row r="136" spans="1:40" x14ac:dyDescent="0.2">
      <c r="A136" s="4"/>
      <c r="S136" s="113"/>
      <c r="T136" s="4"/>
      <c r="U136" s="4"/>
      <c r="V136" s="4"/>
      <c r="W136" s="4"/>
      <c r="X136" s="4"/>
      <c r="Y136" s="4"/>
      <c r="Z136" s="4"/>
      <c r="AA136" s="4"/>
      <c r="AB136" s="4"/>
      <c r="AC136" s="4"/>
      <c r="AD136" s="4"/>
      <c r="AE136" s="4"/>
      <c r="AF136" s="4"/>
      <c r="AG136" s="4"/>
      <c r="AH136" s="4"/>
      <c r="AI136" s="4"/>
      <c r="AJ136" s="4"/>
      <c r="AK136" s="4"/>
      <c r="AL136" s="4"/>
      <c r="AM136" s="4"/>
      <c r="AN136" s="4"/>
    </row>
    <row r="137" spans="1:40" x14ac:dyDescent="0.2">
      <c r="A137" s="4"/>
      <c r="S137" s="113"/>
      <c r="T137" s="4"/>
      <c r="U137" s="4"/>
      <c r="V137" s="4"/>
      <c r="W137" s="4"/>
      <c r="X137" s="4"/>
      <c r="Y137" s="4"/>
      <c r="Z137" s="4"/>
      <c r="AA137" s="4"/>
      <c r="AB137" s="4"/>
      <c r="AC137" s="4"/>
      <c r="AD137" s="4"/>
      <c r="AE137" s="4"/>
      <c r="AF137" s="4"/>
      <c r="AG137" s="4"/>
      <c r="AH137" s="4"/>
      <c r="AI137" s="4"/>
      <c r="AJ137" s="4"/>
      <c r="AK137" s="4"/>
      <c r="AL137" s="4"/>
      <c r="AM137" s="4"/>
      <c r="AN137" s="4"/>
    </row>
    <row r="138" spans="1:40" x14ac:dyDescent="0.2">
      <c r="A138" s="4"/>
      <c r="S138" s="113"/>
      <c r="T138" s="4"/>
      <c r="U138" s="4"/>
      <c r="V138" s="4"/>
      <c r="W138" s="4"/>
      <c r="X138" s="4"/>
      <c r="Y138" s="4"/>
      <c r="Z138" s="4"/>
      <c r="AA138" s="4"/>
      <c r="AB138" s="4"/>
      <c r="AC138" s="4"/>
      <c r="AD138" s="4"/>
      <c r="AE138" s="4"/>
      <c r="AF138" s="4"/>
      <c r="AG138" s="4"/>
      <c r="AH138" s="4"/>
      <c r="AI138" s="4"/>
      <c r="AJ138" s="4"/>
      <c r="AK138" s="4"/>
      <c r="AL138" s="4"/>
      <c r="AM138" s="4"/>
      <c r="AN138" s="4"/>
    </row>
    <row r="139" spans="1:40" x14ac:dyDescent="0.2">
      <c r="A139" s="4"/>
      <c r="S139" s="113"/>
      <c r="T139" s="4"/>
      <c r="U139" s="4"/>
      <c r="V139" s="4"/>
      <c r="W139" s="4"/>
      <c r="X139" s="4"/>
      <c r="Y139" s="4"/>
      <c r="Z139" s="4"/>
      <c r="AA139" s="4"/>
      <c r="AB139" s="4"/>
      <c r="AC139" s="4"/>
      <c r="AD139" s="4"/>
      <c r="AE139" s="4"/>
      <c r="AF139" s="4"/>
      <c r="AG139" s="4"/>
      <c r="AH139" s="4"/>
      <c r="AI139" s="4"/>
      <c r="AJ139" s="4"/>
      <c r="AK139" s="4"/>
      <c r="AL139" s="4"/>
      <c r="AM139" s="4"/>
      <c r="AN139" s="4"/>
    </row>
    <row r="140" spans="1:40" x14ac:dyDescent="0.2">
      <c r="A140" s="4"/>
      <c r="S140" s="113"/>
      <c r="T140" s="4"/>
      <c r="U140" s="4"/>
      <c r="V140" s="4"/>
      <c r="W140" s="4"/>
      <c r="X140" s="4"/>
      <c r="Y140" s="4"/>
      <c r="Z140" s="4"/>
      <c r="AA140" s="4"/>
      <c r="AB140" s="4"/>
      <c r="AC140" s="4"/>
      <c r="AD140" s="4"/>
      <c r="AE140" s="4"/>
      <c r="AF140" s="4"/>
      <c r="AG140" s="4"/>
      <c r="AH140" s="4"/>
      <c r="AI140" s="4"/>
      <c r="AJ140" s="4"/>
      <c r="AK140" s="4"/>
      <c r="AL140" s="4"/>
      <c r="AM140" s="4"/>
      <c r="AN140" s="4"/>
    </row>
    <row r="141" spans="1:40" x14ac:dyDescent="0.2">
      <c r="A141" s="4"/>
      <c r="S141" s="113"/>
      <c r="T141" s="4"/>
      <c r="U141" s="4"/>
      <c r="V141" s="4"/>
      <c r="W141" s="4"/>
      <c r="X141" s="4"/>
      <c r="Y141" s="4"/>
      <c r="Z141" s="4"/>
      <c r="AA141" s="4"/>
      <c r="AB141" s="4"/>
      <c r="AC141" s="4"/>
      <c r="AD141" s="4"/>
      <c r="AE141" s="4"/>
      <c r="AF141" s="4"/>
      <c r="AG141" s="4"/>
      <c r="AH141" s="4"/>
      <c r="AI141" s="4"/>
      <c r="AJ141" s="4"/>
      <c r="AK141" s="4"/>
      <c r="AL141" s="4"/>
      <c r="AM141" s="4"/>
      <c r="AN141" s="4"/>
    </row>
    <row r="142" spans="1:40" x14ac:dyDescent="0.2">
      <c r="A142" s="4"/>
      <c r="S142" s="113"/>
      <c r="T142" s="4"/>
      <c r="U142" s="4"/>
      <c r="V142" s="4"/>
      <c r="W142" s="4"/>
      <c r="X142" s="4"/>
      <c r="Y142" s="4"/>
      <c r="Z142" s="4"/>
      <c r="AA142" s="4"/>
      <c r="AB142" s="4"/>
      <c r="AC142" s="4"/>
      <c r="AD142" s="4"/>
      <c r="AE142" s="4"/>
      <c r="AF142" s="4"/>
      <c r="AG142" s="4"/>
      <c r="AH142" s="4"/>
      <c r="AI142" s="4"/>
      <c r="AJ142" s="4"/>
      <c r="AK142" s="4"/>
      <c r="AL142" s="4"/>
      <c r="AM142" s="4"/>
      <c r="AN142" s="4"/>
    </row>
    <row r="143" spans="1:40" x14ac:dyDescent="0.2">
      <c r="A143" s="4"/>
      <c r="S143" s="113"/>
      <c r="T143" s="4"/>
      <c r="U143" s="4"/>
      <c r="V143" s="4"/>
      <c r="W143" s="4"/>
      <c r="X143" s="4"/>
      <c r="Y143" s="4"/>
      <c r="Z143" s="4"/>
      <c r="AA143" s="4"/>
      <c r="AB143" s="4"/>
      <c r="AC143" s="4"/>
      <c r="AD143" s="4"/>
      <c r="AE143" s="4"/>
      <c r="AF143" s="4"/>
      <c r="AG143" s="4"/>
      <c r="AH143" s="4"/>
      <c r="AI143" s="4"/>
      <c r="AJ143" s="4"/>
      <c r="AK143" s="4"/>
      <c r="AL143" s="4"/>
      <c r="AM143" s="4"/>
      <c r="AN143" s="4"/>
    </row>
    <row r="144" spans="1:40" x14ac:dyDescent="0.2">
      <c r="A144" s="4"/>
      <c r="S144" s="113"/>
      <c r="T144" s="4"/>
      <c r="U144" s="4"/>
      <c r="V144" s="4"/>
      <c r="W144" s="4"/>
      <c r="X144" s="4"/>
      <c r="Y144" s="4"/>
      <c r="Z144" s="4"/>
      <c r="AA144" s="4"/>
      <c r="AB144" s="4"/>
      <c r="AC144" s="4"/>
      <c r="AD144" s="4"/>
      <c r="AE144" s="4"/>
      <c r="AF144" s="4"/>
      <c r="AG144" s="4"/>
      <c r="AH144" s="4"/>
      <c r="AI144" s="4"/>
      <c r="AJ144" s="4"/>
      <c r="AK144" s="4"/>
      <c r="AL144" s="4"/>
      <c r="AM144" s="4"/>
      <c r="AN144" s="4"/>
    </row>
    <row r="145" spans="1:40" x14ac:dyDescent="0.2">
      <c r="A145" s="4"/>
      <c r="S145" s="113"/>
      <c r="T145" s="4"/>
      <c r="U145" s="4"/>
      <c r="V145" s="4"/>
      <c r="W145" s="4"/>
      <c r="X145" s="4"/>
      <c r="Y145" s="4"/>
      <c r="Z145" s="4"/>
      <c r="AA145" s="4"/>
      <c r="AB145" s="4"/>
      <c r="AC145" s="4"/>
      <c r="AD145" s="4"/>
      <c r="AE145" s="4"/>
      <c r="AF145" s="4"/>
      <c r="AG145" s="4"/>
      <c r="AH145" s="4"/>
      <c r="AI145" s="4"/>
      <c r="AJ145" s="4"/>
      <c r="AK145" s="4"/>
      <c r="AL145" s="4"/>
      <c r="AM145" s="4"/>
      <c r="AN145" s="4"/>
    </row>
    <row r="146" spans="1:40" x14ac:dyDescent="0.2">
      <c r="A146" s="4"/>
      <c r="S146" s="113"/>
      <c r="T146" s="4"/>
      <c r="U146" s="4"/>
      <c r="V146" s="4"/>
      <c r="W146" s="4"/>
      <c r="X146" s="4"/>
      <c r="Y146" s="4"/>
      <c r="Z146" s="4"/>
      <c r="AA146" s="4"/>
      <c r="AB146" s="4"/>
      <c r="AC146" s="4"/>
      <c r="AD146" s="4"/>
      <c r="AE146" s="4"/>
      <c r="AF146" s="4"/>
      <c r="AG146" s="4"/>
      <c r="AH146" s="4"/>
      <c r="AI146" s="4"/>
      <c r="AJ146" s="4"/>
      <c r="AK146" s="4"/>
      <c r="AL146" s="4"/>
      <c r="AM146" s="4"/>
      <c r="AN146" s="4"/>
    </row>
    <row r="147" spans="1:40" x14ac:dyDescent="0.2">
      <c r="A147" s="4"/>
      <c r="S147" s="113"/>
      <c r="T147" s="4"/>
      <c r="U147" s="4"/>
      <c r="V147" s="4"/>
      <c r="W147" s="4"/>
      <c r="X147" s="4"/>
      <c r="Y147" s="4"/>
      <c r="Z147" s="4"/>
      <c r="AA147" s="4"/>
      <c r="AB147" s="4"/>
      <c r="AC147" s="4"/>
      <c r="AD147" s="4"/>
      <c r="AE147" s="4"/>
      <c r="AF147" s="4"/>
      <c r="AG147" s="4"/>
      <c r="AH147" s="4"/>
      <c r="AI147" s="4"/>
      <c r="AJ147" s="4"/>
      <c r="AK147" s="4"/>
      <c r="AL147" s="4"/>
      <c r="AM147" s="4"/>
      <c r="AN147" s="4"/>
    </row>
    <row r="148" spans="1:40" x14ac:dyDescent="0.2">
      <c r="A148" s="4"/>
      <c r="S148" s="113"/>
      <c r="T148" s="4"/>
      <c r="U148" s="4"/>
      <c r="V148" s="4"/>
      <c r="W148" s="4"/>
      <c r="X148" s="4"/>
      <c r="Y148" s="4"/>
      <c r="Z148" s="4"/>
      <c r="AA148" s="4"/>
      <c r="AB148" s="4"/>
      <c r="AC148" s="4"/>
      <c r="AD148" s="4"/>
      <c r="AE148" s="4"/>
      <c r="AF148" s="4"/>
      <c r="AG148" s="4"/>
      <c r="AH148" s="4"/>
      <c r="AI148" s="4"/>
      <c r="AJ148" s="4"/>
      <c r="AK148" s="4"/>
      <c r="AL148" s="4"/>
      <c r="AM148" s="4"/>
      <c r="AN148" s="4"/>
    </row>
    <row r="149" spans="1:40" x14ac:dyDescent="0.2">
      <c r="A149" s="4"/>
      <c r="S149" s="113"/>
      <c r="T149" s="4"/>
      <c r="U149" s="4"/>
      <c r="V149" s="4"/>
      <c r="W149" s="4"/>
      <c r="X149" s="4"/>
      <c r="Y149" s="4"/>
      <c r="Z149" s="4"/>
      <c r="AA149" s="4"/>
      <c r="AB149" s="4"/>
      <c r="AC149" s="4"/>
      <c r="AD149" s="4"/>
      <c r="AE149" s="4"/>
      <c r="AF149" s="4"/>
      <c r="AG149" s="4"/>
      <c r="AH149" s="4"/>
      <c r="AI149" s="4"/>
      <c r="AJ149" s="4"/>
      <c r="AK149" s="4"/>
      <c r="AL149" s="4"/>
      <c r="AM149" s="4"/>
      <c r="AN149" s="4"/>
    </row>
    <row r="150" spans="1:40" x14ac:dyDescent="0.2">
      <c r="A150" s="4"/>
      <c r="S150" s="113"/>
      <c r="T150" s="4"/>
      <c r="U150" s="4"/>
      <c r="V150" s="4"/>
      <c r="W150" s="4"/>
      <c r="X150" s="4"/>
      <c r="Y150" s="4"/>
      <c r="Z150" s="4"/>
      <c r="AA150" s="4"/>
      <c r="AB150" s="4"/>
      <c r="AC150" s="4"/>
      <c r="AD150" s="4"/>
      <c r="AE150" s="4"/>
      <c r="AF150" s="4"/>
      <c r="AG150" s="4"/>
      <c r="AH150" s="4"/>
      <c r="AI150" s="4"/>
      <c r="AJ150" s="4"/>
      <c r="AK150" s="4"/>
      <c r="AL150" s="4"/>
      <c r="AM150" s="4"/>
      <c r="AN150" s="4"/>
    </row>
    <row r="151" spans="1:40" x14ac:dyDescent="0.2">
      <c r="A151" s="4"/>
      <c r="S151" s="113"/>
      <c r="T151" s="4"/>
      <c r="U151" s="4"/>
      <c r="V151" s="4"/>
      <c r="W151" s="4"/>
      <c r="X151" s="4"/>
      <c r="Y151" s="4"/>
      <c r="Z151" s="4"/>
      <c r="AA151" s="4"/>
      <c r="AB151" s="4"/>
      <c r="AC151" s="4"/>
      <c r="AD151" s="4"/>
      <c r="AE151" s="4"/>
      <c r="AF151" s="4"/>
      <c r="AG151" s="4"/>
      <c r="AH151" s="4"/>
      <c r="AI151" s="4"/>
      <c r="AJ151" s="4"/>
      <c r="AK151" s="4"/>
      <c r="AL151" s="4"/>
      <c r="AM151" s="4"/>
      <c r="AN151" s="4"/>
    </row>
    <row r="152" spans="1:40" x14ac:dyDescent="0.2">
      <c r="A152" s="4"/>
      <c r="S152" s="113"/>
      <c r="T152" s="4"/>
      <c r="U152" s="4"/>
      <c r="V152" s="4"/>
      <c r="W152" s="4"/>
      <c r="X152" s="4"/>
      <c r="Y152" s="4"/>
      <c r="Z152" s="4"/>
      <c r="AA152" s="4"/>
      <c r="AB152" s="4"/>
      <c r="AC152" s="4"/>
      <c r="AD152" s="4"/>
      <c r="AE152" s="4"/>
      <c r="AF152" s="4"/>
      <c r="AG152" s="4"/>
      <c r="AH152" s="4"/>
      <c r="AI152" s="4"/>
      <c r="AJ152" s="4"/>
      <c r="AK152" s="4"/>
      <c r="AL152" s="4"/>
      <c r="AM152" s="4"/>
      <c r="AN152" s="4"/>
    </row>
    <row r="153" spans="1:40" x14ac:dyDescent="0.2">
      <c r="A153" s="4"/>
      <c r="S153" s="113"/>
      <c r="T153" s="4"/>
      <c r="U153" s="4"/>
      <c r="V153" s="4"/>
      <c r="W153" s="4"/>
      <c r="X153" s="4"/>
      <c r="Y153" s="4"/>
      <c r="Z153" s="4"/>
      <c r="AA153" s="4"/>
      <c r="AB153" s="4"/>
      <c r="AC153" s="4"/>
      <c r="AD153" s="4"/>
      <c r="AE153" s="4"/>
      <c r="AF153" s="4"/>
      <c r="AG153" s="4"/>
      <c r="AH153" s="4"/>
      <c r="AI153" s="4"/>
      <c r="AJ153" s="4"/>
      <c r="AK153" s="4"/>
      <c r="AL153" s="4"/>
      <c r="AM153" s="4"/>
      <c r="AN153" s="4"/>
    </row>
    <row r="154" spans="1:40" x14ac:dyDescent="0.2">
      <c r="A154" s="4"/>
      <c r="S154" s="113"/>
      <c r="T154" s="4"/>
      <c r="U154" s="4"/>
      <c r="V154" s="4"/>
      <c r="W154" s="4"/>
      <c r="X154" s="4"/>
      <c r="Y154" s="4"/>
      <c r="Z154" s="4"/>
      <c r="AA154" s="4"/>
      <c r="AB154" s="4"/>
      <c r="AC154" s="4"/>
      <c r="AD154" s="4"/>
      <c r="AE154" s="4"/>
      <c r="AF154" s="4"/>
      <c r="AG154" s="4"/>
      <c r="AH154" s="4"/>
      <c r="AI154" s="4"/>
      <c r="AJ154" s="4"/>
      <c r="AK154" s="4"/>
      <c r="AL154" s="4"/>
      <c r="AM154" s="4"/>
      <c r="AN154" s="4"/>
    </row>
    <row r="155" spans="1:40" x14ac:dyDescent="0.2">
      <c r="A155" s="4"/>
      <c r="S155" s="113"/>
      <c r="T155" s="4"/>
      <c r="U155" s="4"/>
      <c r="V155" s="4"/>
      <c r="W155" s="4"/>
      <c r="X155" s="4"/>
      <c r="Y155" s="4"/>
      <c r="Z155" s="4"/>
      <c r="AA155" s="4"/>
      <c r="AB155" s="4"/>
      <c r="AC155" s="4"/>
      <c r="AD155" s="4"/>
      <c r="AE155" s="4"/>
      <c r="AF155" s="4"/>
      <c r="AG155" s="4"/>
      <c r="AH155" s="4"/>
      <c r="AI155" s="4"/>
      <c r="AJ155" s="4"/>
      <c r="AK155" s="4"/>
      <c r="AL155" s="4"/>
      <c r="AM155" s="4"/>
      <c r="AN155" s="4"/>
    </row>
    <row r="156" spans="1:40" x14ac:dyDescent="0.2">
      <c r="A156" s="4"/>
      <c r="S156" s="113"/>
      <c r="T156" s="4"/>
      <c r="U156" s="4"/>
      <c r="V156" s="4"/>
      <c r="W156" s="4"/>
      <c r="X156" s="4"/>
      <c r="Y156" s="4"/>
      <c r="Z156" s="4"/>
      <c r="AA156" s="4"/>
      <c r="AB156" s="4"/>
      <c r="AC156" s="4"/>
      <c r="AD156" s="4"/>
      <c r="AE156" s="4"/>
      <c r="AF156" s="4"/>
      <c r="AG156" s="4"/>
      <c r="AH156" s="4"/>
      <c r="AI156" s="4"/>
      <c r="AJ156" s="4"/>
      <c r="AK156" s="4"/>
      <c r="AL156" s="4"/>
      <c r="AM156" s="4"/>
      <c r="AN156" s="4"/>
    </row>
    <row r="157" spans="1:40" x14ac:dyDescent="0.2">
      <c r="A157" s="4"/>
      <c r="S157" s="113"/>
      <c r="T157" s="4"/>
      <c r="U157" s="4"/>
      <c r="V157" s="4"/>
      <c r="W157" s="4"/>
      <c r="X157" s="4"/>
      <c r="Y157" s="4"/>
      <c r="Z157" s="4"/>
      <c r="AA157" s="4"/>
      <c r="AB157" s="4"/>
      <c r="AC157" s="4"/>
      <c r="AD157" s="4"/>
      <c r="AE157" s="4"/>
      <c r="AF157" s="4"/>
      <c r="AG157" s="4"/>
      <c r="AH157" s="4"/>
      <c r="AI157" s="4"/>
      <c r="AJ157" s="4"/>
      <c r="AK157" s="4"/>
      <c r="AL157" s="4"/>
      <c r="AM157" s="4"/>
      <c r="AN157" s="4"/>
    </row>
    <row r="158" spans="1:40" x14ac:dyDescent="0.2">
      <c r="A158" s="4"/>
      <c r="S158" s="113"/>
      <c r="T158" s="4"/>
      <c r="U158" s="4"/>
      <c r="V158" s="4"/>
      <c r="W158" s="4"/>
      <c r="X158" s="4"/>
      <c r="Y158" s="4"/>
      <c r="Z158" s="4"/>
      <c r="AA158" s="4"/>
      <c r="AB158" s="4"/>
      <c r="AC158" s="4"/>
      <c r="AD158" s="4"/>
      <c r="AE158" s="4"/>
      <c r="AF158" s="4"/>
      <c r="AG158" s="4"/>
      <c r="AH158" s="4"/>
      <c r="AI158" s="4"/>
      <c r="AJ158" s="4"/>
      <c r="AK158" s="4"/>
      <c r="AL158" s="4"/>
      <c r="AM158" s="4"/>
      <c r="AN158" s="4"/>
    </row>
    <row r="159" spans="1:40" x14ac:dyDescent="0.2">
      <c r="A159" s="4"/>
      <c r="S159" s="113"/>
      <c r="T159" s="4"/>
      <c r="U159" s="4"/>
      <c r="V159" s="4"/>
      <c r="W159" s="4"/>
      <c r="X159" s="4"/>
      <c r="Y159" s="4"/>
      <c r="Z159" s="4"/>
      <c r="AA159" s="4"/>
      <c r="AB159" s="4"/>
      <c r="AC159" s="4"/>
      <c r="AD159" s="4"/>
      <c r="AE159" s="4"/>
      <c r="AF159" s="4"/>
      <c r="AG159" s="4"/>
      <c r="AH159" s="4"/>
      <c r="AI159" s="4"/>
      <c r="AJ159" s="4"/>
      <c r="AK159" s="4"/>
      <c r="AL159" s="4"/>
      <c r="AM159" s="4"/>
      <c r="AN159" s="4"/>
    </row>
    <row r="160" spans="1:40" x14ac:dyDescent="0.2">
      <c r="A160" s="4"/>
      <c r="S160" s="113"/>
      <c r="T160" s="4"/>
      <c r="U160" s="4"/>
      <c r="V160" s="4"/>
      <c r="W160" s="4"/>
      <c r="X160" s="4"/>
      <c r="Y160" s="4"/>
      <c r="Z160" s="4"/>
      <c r="AA160" s="4"/>
      <c r="AB160" s="4"/>
      <c r="AC160" s="4"/>
      <c r="AD160" s="4"/>
      <c r="AE160" s="4"/>
      <c r="AF160" s="4"/>
      <c r="AG160" s="4"/>
      <c r="AH160" s="4"/>
      <c r="AI160" s="4"/>
      <c r="AJ160" s="4"/>
      <c r="AK160" s="4"/>
      <c r="AL160" s="4"/>
      <c r="AM160" s="4"/>
      <c r="AN160" s="4"/>
    </row>
    <row r="161" spans="1:40" x14ac:dyDescent="0.2">
      <c r="A161" s="4"/>
      <c r="S161" s="113"/>
      <c r="T161" s="4"/>
      <c r="U161" s="4"/>
      <c r="V161" s="4"/>
      <c r="W161" s="4"/>
      <c r="X161" s="4"/>
      <c r="Y161" s="4"/>
      <c r="Z161" s="4"/>
      <c r="AA161" s="4"/>
      <c r="AB161" s="4"/>
      <c r="AC161" s="4"/>
      <c r="AD161" s="4"/>
      <c r="AE161" s="4"/>
      <c r="AF161" s="4"/>
      <c r="AG161" s="4"/>
      <c r="AH161" s="4"/>
      <c r="AI161" s="4"/>
      <c r="AJ161" s="4"/>
      <c r="AK161" s="4"/>
      <c r="AL161" s="4"/>
      <c r="AM161" s="4"/>
      <c r="AN161" s="4"/>
    </row>
    <row r="162" spans="1:40" x14ac:dyDescent="0.2">
      <c r="A162" s="4"/>
      <c r="S162" s="113"/>
      <c r="T162" s="4"/>
      <c r="U162" s="4"/>
      <c r="V162" s="4"/>
      <c r="W162" s="4"/>
      <c r="X162" s="4"/>
      <c r="Y162" s="4"/>
      <c r="Z162" s="4"/>
      <c r="AA162" s="4"/>
      <c r="AB162" s="4"/>
      <c r="AC162" s="4"/>
      <c r="AD162" s="4"/>
      <c r="AE162" s="4"/>
      <c r="AF162" s="4"/>
      <c r="AG162" s="4"/>
      <c r="AH162" s="4"/>
      <c r="AI162" s="4"/>
      <c r="AJ162" s="4"/>
      <c r="AK162" s="4"/>
      <c r="AL162" s="4"/>
      <c r="AM162" s="4"/>
      <c r="AN162" s="4"/>
    </row>
    <row r="163" spans="1:40" x14ac:dyDescent="0.2">
      <c r="A163" s="4"/>
      <c r="S163" s="113"/>
      <c r="T163" s="4"/>
      <c r="U163" s="4"/>
      <c r="V163" s="4"/>
      <c r="W163" s="4"/>
      <c r="X163" s="4"/>
      <c r="Y163" s="4"/>
      <c r="Z163" s="4"/>
      <c r="AA163" s="4"/>
      <c r="AB163" s="4"/>
      <c r="AC163" s="4"/>
      <c r="AD163" s="4"/>
      <c r="AE163" s="4"/>
      <c r="AF163" s="4"/>
      <c r="AG163" s="4"/>
      <c r="AH163" s="4"/>
      <c r="AI163" s="4"/>
      <c r="AJ163" s="4"/>
      <c r="AK163" s="4"/>
      <c r="AL163" s="4"/>
      <c r="AM163" s="4"/>
      <c r="AN163" s="4"/>
    </row>
    <row r="164" spans="1:40" x14ac:dyDescent="0.2">
      <c r="A164" s="4"/>
      <c r="S164" s="113"/>
      <c r="T164" s="4"/>
      <c r="U164" s="4"/>
      <c r="V164" s="4"/>
      <c r="W164" s="4"/>
      <c r="X164" s="4"/>
      <c r="Y164" s="4"/>
      <c r="Z164" s="4"/>
      <c r="AA164" s="4"/>
      <c r="AB164" s="4"/>
      <c r="AC164" s="4"/>
      <c r="AD164" s="4"/>
      <c r="AE164" s="4"/>
      <c r="AF164" s="4"/>
      <c r="AG164" s="4"/>
      <c r="AH164" s="4"/>
      <c r="AI164" s="4"/>
      <c r="AJ164" s="4"/>
      <c r="AK164" s="4"/>
      <c r="AL164" s="4"/>
      <c r="AM164" s="4"/>
      <c r="AN164" s="4"/>
    </row>
    <row r="165" spans="1:40" x14ac:dyDescent="0.2">
      <c r="A165" s="4"/>
      <c r="S165" s="113"/>
      <c r="T165" s="4"/>
      <c r="U165" s="4"/>
      <c r="V165" s="4"/>
      <c r="W165" s="4"/>
      <c r="X165" s="4"/>
      <c r="Y165" s="4"/>
      <c r="Z165" s="4"/>
      <c r="AA165" s="4"/>
      <c r="AB165" s="4"/>
      <c r="AC165" s="4"/>
      <c r="AD165" s="4"/>
      <c r="AE165" s="4"/>
      <c r="AF165" s="4"/>
      <c r="AG165" s="4"/>
      <c r="AH165" s="4"/>
      <c r="AI165" s="4"/>
      <c r="AJ165" s="4"/>
      <c r="AK165" s="4"/>
      <c r="AL165" s="4"/>
      <c r="AM165" s="4"/>
      <c r="AN165" s="4"/>
    </row>
    <row r="166" spans="1:40" x14ac:dyDescent="0.2">
      <c r="A166" s="4"/>
      <c r="S166" s="113"/>
      <c r="T166" s="4"/>
      <c r="U166" s="4"/>
      <c r="V166" s="4"/>
      <c r="W166" s="4"/>
      <c r="X166" s="4"/>
      <c r="Y166" s="4"/>
      <c r="Z166" s="4"/>
      <c r="AA166" s="4"/>
      <c r="AB166" s="4"/>
      <c r="AC166" s="4"/>
      <c r="AD166" s="4"/>
      <c r="AE166" s="4"/>
      <c r="AF166" s="4"/>
      <c r="AG166" s="4"/>
      <c r="AH166" s="4"/>
      <c r="AI166" s="4"/>
      <c r="AJ166" s="4"/>
      <c r="AK166" s="4"/>
      <c r="AL166" s="4"/>
      <c r="AM166" s="4"/>
      <c r="AN166" s="4"/>
    </row>
    <row r="167" spans="1:40" x14ac:dyDescent="0.2">
      <c r="A167" s="4"/>
      <c r="S167" s="113"/>
      <c r="T167" s="4"/>
      <c r="U167" s="4"/>
      <c r="V167" s="4"/>
      <c r="W167" s="4"/>
      <c r="X167" s="4"/>
      <c r="Y167" s="4"/>
      <c r="Z167" s="4"/>
      <c r="AA167" s="4"/>
      <c r="AB167" s="4"/>
      <c r="AC167" s="4"/>
      <c r="AD167" s="4"/>
      <c r="AE167" s="4"/>
      <c r="AF167" s="4"/>
      <c r="AG167" s="4"/>
      <c r="AH167" s="4"/>
      <c r="AI167" s="4"/>
      <c r="AJ167" s="4"/>
      <c r="AK167" s="4"/>
      <c r="AL167" s="4"/>
      <c r="AM167" s="4"/>
      <c r="AN167" s="4"/>
    </row>
    <row r="168" spans="1:40" x14ac:dyDescent="0.2">
      <c r="A168" s="4"/>
      <c r="S168" s="113"/>
      <c r="T168" s="4"/>
      <c r="U168" s="4"/>
      <c r="V168" s="4"/>
      <c r="W168" s="4"/>
      <c r="X168" s="4"/>
      <c r="Y168" s="4"/>
      <c r="Z168" s="4"/>
      <c r="AA168" s="4"/>
      <c r="AB168" s="4"/>
      <c r="AC168" s="4"/>
      <c r="AD168" s="4"/>
      <c r="AE168" s="4"/>
      <c r="AF168" s="4"/>
      <c r="AG168" s="4"/>
      <c r="AH168" s="4"/>
      <c r="AI168" s="4"/>
      <c r="AJ168" s="4"/>
      <c r="AK168" s="4"/>
      <c r="AL168" s="4"/>
      <c r="AM168" s="4"/>
      <c r="AN168" s="4"/>
    </row>
    <row r="169" spans="1:40" x14ac:dyDescent="0.2">
      <c r="A169" s="4"/>
      <c r="S169" s="113"/>
      <c r="T169" s="4"/>
      <c r="U169" s="4"/>
      <c r="V169" s="4"/>
      <c r="W169" s="4"/>
      <c r="X169" s="4"/>
      <c r="Y169" s="4"/>
      <c r="Z169" s="4"/>
      <c r="AA169" s="4"/>
      <c r="AB169" s="4"/>
      <c r="AC169" s="4"/>
      <c r="AD169" s="4"/>
      <c r="AE169" s="4"/>
      <c r="AF169" s="4"/>
      <c r="AG169" s="4"/>
      <c r="AH169" s="4"/>
      <c r="AI169" s="4"/>
      <c r="AJ169" s="4"/>
      <c r="AK169" s="4"/>
      <c r="AL169" s="4"/>
      <c r="AM169" s="4"/>
      <c r="AN169" s="4"/>
    </row>
    <row r="170" spans="1:40" x14ac:dyDescent="0.2">
      <c r="A170" s="4"/>
      <c r="S170" s="113"/>
      <c r="T170" s="4"/>
      <c r="U170" s="4"/>
      <c r="V170" s="4"/>
      <c r="W170" s="4"/>
      <c r="X170" s="4"/>
      <c r="Y170" s="4"/>
      <c r="Z170" s="4"/>
      <c r="AA170" s="4"/>
      <c r="AB170" s="4"/>
      <c r="AC170" s="4"/>
      <c r="AD170" s="4"/>
      <c r="AE170" s="4"/>
      <c r="AF170" s="4"/>
      <c r="AG170" s="4"/>
      <c r="AH170" s="4"/>
      <c r="AI170" s="4"/>
      <c r="AJ170" s="4"/>
      <c r="AK170" s="4"/>
      <c r="AL170" s="4"/>
      <c r="AM170" s="4"/>
      <c r="AN170" s="4"/>
    </row>
    <row r="171" spans="1:40" x14ac:dyDescent="0.2">
      <c r="A171" s="4"/>
      <c r="S171" s="113"/>
      <c r="T171" s="4"/>
      <c r="U171" s="4"/>
      <c r="V171" s="4"/>
      <c r="W171" s="4"/>
      <c r="X171" s="4"/>
      <c r="Y171" s="4"/>
      <c r="Z171" s="4"/>
      <c r="AA171" s="4"/>
      <c r="AB171" s="4"/>
      <c r="AC171" s="4"/>
      <c r="AD171" s="4"/>
      <c r="AE171" s="4"/>
      <c r="AF171" s="4"/>
      <c r="AG171" s="4"/>
      <c r="AH171" s="4"/>
      <c r="AI171" s="4"/>
      <c r="AJ171" s="4"/>
      <c r="AK171" s="4"/>
      <c r="AL171" s="4"/>
      <c r="AM171" s="4"/>
      <c r="AN171" s="4"/>
    </row>
    <row r="172" spans="1:40" x14ac:dyDescent="0.2">
      <c r="A172" s="4"/>
      <c r="S172" s="113"/>
      <c r="T172" s="4"/>
      <c r="U172" s="4"/>
      <c r="V172" s="4"/>
      <c r="W172" s="4"/>
      <c r="X172" s="4"/>
      <c r="Y172" s="4"/>
      <c r="Z172" s="4"/>
      <c r="AA172" s="4"/>
      <c r="AB172" s="4"/>
      <c r="AC172" s="4"/>
      <c r="AD172" s="4"/>
      <c r="AE172" s="4"/>
      <c r="AF172" s="4"/>
      <c r="AG172" s="4"/>
      <c r="AH172" s="4"/>
      <c r="AI172" s="4"/>
      <c r="AJ172" s="4"/>
      <c r="AK172" s="4"/>
      <c r="AL172" s="4"/>
      <c r="AM172" s="4"/>
      <c r="AN172" s="4"/>
    </row>
    <row r="173" spans="1:40" x14ac:dyDescent="0.2">
      <c r="A173" s="4"/>
      <c r="S173" s="113"/>
      <c r="T173" s="4"/>
      <c r="U173" s="4"/>
      <c r="V173" s="4"/>
      <c r="W173" s="4"/>
      <c r="X173" s="4"/>
      <c r="Y173" s="4"/>
      <c r="Z173" s="4"/>
      <c r="AA173" s="4"/>
      <c r="AB173" s="4"/>
      <c r="AC173" s="4"/>
      <c r="AD173" s="4"/>
      <c r="AE173" s="4"/>
      <c r="AF173" s="4"/>
      <c r="AG173" s="4"/>
      <c r="AH173" s="4"/>
      <c r="AI173" s="4"/>
      <c r="AJ173" s="4"/>
      <c r="AK173" s="4"/>
      <c r="AL173" s="4"/>
      <c r="AM173" s="4"/>
      <c r="AN173" s="4"/>
    </row>
    <row r="174" spans="1:40" x14ac:dyDescent="0.2">
      <c r="A174" s="4"/>
      <c r="S174" s="113"/>
      <c r="T174" s="4"/>
      <c r="U174" s="4"/>
      <c r="V174" s="4"/>
      <c r="W174" s="4"/>
      <c r="X174" s="4"/>
      <c r="Y174" s="4"/>
      <c r="Z174" s="4"/>
      <c r="AA174" s="4"/>
      <c r="AB174" s="4"/>
      <c r="AC174" s="4"/>
      <c r="AD174" s="4"/>
      <c r="AE174" s="4"/>
      <c r="AF174" s="4"/>
      <c r="AG174" s="4"/>
      <c r="AH174" s="4"/>
      <c r="AI174" s="4"/>
      <c r="AJ174" s="4"/>
      <c r="AK174" s="4"/>
      <c r="AL174" s="4"/>
      <c r="AM174" s="4"/>
      <c r="AN174" s="4"/>
    </row>
    <row r="175" spans="1:40" x14ac:dyDescent="0.2">
      <c r="A175" s="4"/>
      <c r="S175" s="113"/>
      <c r="T175" s="4"/>
      <c r="U175" s="4"/>
      <c r="V175" s="4"/>
      <c r="W175" s="4"/>
      <c r="X175" s="4"/>
      <c r="Y175" s="4"/>
      <c r="Z175" s="4"/>
      <c r="AA175" s="4"/>
      <c r="AB175" s="4"/>
      <c r="AC175" s="4"/>
      <c r="AD175" s="4"/>
      <c r="AE175" s="4"/>
      <c r="AF175" s="4"/>
      <c r="AG175" s="4"/>
      <c r="AH175" s="4"/>
      <c r="AI175" s="4"/>
      <c r="AJ175" s="4"/>
      <c r="AK175" s="4"/>
      <c r="AL175" s="4"/>
      <c r="AM175" s="4"/>
      <c r="AN175" s="4"/>
    </row>
    <row r="176" spans="1:40" x14ac:dyDescent="0.2">
      <c r="A176" s="4"/>
      <c r="S176" s="113"/>
      <c r="T176" s="4"/>
      <c r="U176" s="4"/>
      <c r="V176" s="4"/>
      <c r="W176" s="4"/>
      <c r="X176" s="4"/>
      <c r="Y176" s="4"/>
      <c r="Z176" s="4"/>
      <c r="AA176" s="4"/>
      <c r="AB176" s="4"/>
      <c r="AC176" s="4"/>
      <c r="AD176" s="4"/>
      <c r="AE176" s="4"/>
      <c r="AF176" s="4"/>
      <c r="AG176" s="4"/>
      <c r="AH176" s="4"/>
      <c r="AI176" s="4"/>
      <c r="AJ176" s="4"/>
      <c r="AK176" s="4"/>
      <c r="AL176" s="4"/>
      <c r="AM176" s="4"/>
      <c r="AN176" s="4"/>
    </row>
    <row r="177" spans="1:40" x14ac:dyDescent="0.2">
      <c r="A177" s="4"/>
      <c r="S177" s="113"/>
      <c r="T177" s="4"/>
      <c r="U177" s="4"/>
      <c r="V177" s="4"/>
      <c r="W177" s="4"/>
      <c r="X177" s="4"/>
      <c r="Y177" s="4"/>
      <c r="Z177" s="4"/>
      <c r="AA177" s="4"/>
      <c r="AB177" s="4"/>
      <c r="AC177" s="4"/>
      <c r="AD177" s="4"/>
      <c r="AE177" s="4"/>
      <c r="AF177" s="4"/>
      <c r="AG177" s="4"/>
      <c r="AH177" s="4"/>
      <c r="AI177" s="4"/>
      <c r="AJ177" s="4"/>
      <c r="AK177" s="4"/>
      <c r="AL177" s="4"/>
      <c r="AM177" s="4"/>
      <c r="AN177" s="4"/>
    </row>
    <row r="178" spans="1:40" x14ac:dyDescent="0.2">
      <c r="A178" s="4"/>
      <c r="S178" s="113"/>
      <c r="T178" s="4"/>
      <c r="U178" s="4"/>
      <c r="V178" s="4"/>
      <c r="W178" s="4"/>
      <c r="X178" s="4"/>
      <c r="Y178" s="4"/>
      <c r="Z178" s="4"/>
      <c r="AA178" s="4"/>
      <c r="AB178" s="4"/>
      <c r="AC178" s="4"/>
      <c r="AD178" s="4"/>
      <c r="AE178" s="4"/>
      <c r="AF178" s="4"/>
      <c r="AG178" s="4"/>
      <c r="AH178" s="4"/>
      <c r="AI178" s="4"/>
      <c r="AJ178" s="4"/>
      <c r="AK178" s="4"/>
      <c r="AL178" s="4"/>
      <c r="AM178" s="4"/>
      <c r="AN178" s="4"/>
    </row>
    <row r="179" spans="1:40" x14ac:dyDescent="0.2">
      <c r="A179" s="4"/>
      <c r="S179" s="113"/>
      <c r="T179" s="4"/>
      <c r="U179" s="4"/>
      <c r="V179" s="4"/>
      <c r="W179" s="4"/>
      <c r="X179" s="4"/>
      <c r="Y179" s="4"/>
      <c r="Z179" s="4"/>
      <c r="AA179" s="4"/>
      <c r="AB179" s="4"/>
      <c r="AC179" s="4"/>
      <c r="AD179" s="4"/>
      <c r="AE179" s="4"/>
      <c r="AF179" s="4"/>
      <c r="AG179" s="4"/>
      <c r="AH179" s="4"/>
      <c r="AI179" s="4"/>
      <c r="AJ179" s="4"/>
      <c r="AK179" s="4"/>
      <c r="AL179" s="4"/>
      <c r="AM179" s="4"/>
      <c r="AN179" s="4"/>
    </row>
    <row r="180" spans="1:40" x14ac:dyDescent="0.2">
      <c r="A180" s="4"/>
      <c r="S180" s="113"/>
      <c r="T180" s="4"/>
      <c r="U180" s="4"/>
      <c r="V180" s="4"/>
      <c r="W180" s="4"/>
      <c r="X180" s="4"/>
      <c r="Y180" s="4"/>
      <c r="Z180" s="4"/>
      <c r="AA180" s="4"/>
      <c r="AB180" s="4"/>
      <c r="AC180" s="4"/>
      <c r="AD180" s="4"/>
      <c r="AE180" s="4"/>
      <c r="AF180" s="4"/>
      <c r="AG180" s="4"/>
      <c r="AH180" s="4"/>
      <c r="AI180" s="4"/>
      <c r="AJ180" s="4"/>
      <c r="AK180" s="4"/>
      <c r="AL180" s="4"/>
      <c r="AM180" s="4"/>
      <c r="AN180" s="4"/>
    </row>
    <row r="181" spans="1:40" x14ac:dyDescent="0.2">
      <c r="A181" s="4"/>
      <c r="S181" s="113"/>
      <c r="T181" s="4"/>
      <c r="U181" s="4"/>
      <c r="V181" s="4"/>
      <c r="W181" s="4"/>
      <c r="X181" s="4"/>
      <c r="Y181" s="4"/>
      <c r="Z181" s="4"/>
      <c r="AA181" s="4"/>
      <c r="AB181" s="4"/>
      <c r="AC181" s="4"/>
      <c r="AD181" s="4"/>
      <c r="AE181" s="4"/>
      <c r="AF181" s="4"/>
      <c r="AG181" s="4"/>
      <c r="AH181" s="4"/>
      <c r="AI181" s="4"/>
      <c r="AJ181" s="4"/>
      <c r="AK181" s="4"/>
      <c r="AL181" s="4"/>
      <c r="AM181" s="4"/>
      <c r="AN181" s="4"/>
    </row>
    <row r="182" spans="1:40" x14ac:dyDescent="0.2">
      <c r="A182" s="4"/>
      <c r="S182" s="113"/>
      <c r="T182" s="4"/>
      <c r="U182" s="4"/>
      <c r="V182" s="4"/>
      <c r="W182" s="4"/>
      <c r="X182" s="4"/>
      <c r="Y182" s="4"/>
      <c r="Z182" s="4"/>
      <c r="AA182" s="4"/>
      <c r="AB182" s="4"/>
      <c r="AC182" s="4"/>
      <c r="AD182" s="4"/>
      <c r="AE182" s="4"/>
      <c r="AF182" s="4"/>
      <c r="AG182" s="4"/>
      <c r="AH182" s="4"/>
      <c r="AI182" s="4"/>
      <c r="AJ182" s="4"/>
      <c r="AK182" s="4"/>
      <c r="AL182" s="4"/>
      <c r="AM182" s="4"/>
      <c r="AN182" s="4"/>
    </row>
    <row r="183" spans="1:40" x14ac:dyDescent="0.2">
      <c r="A183" s="4"/>
      <c r="S183" s="113"/>
      <c r="T183" s="4"/>
      <c r="U183" s="4"/>
      <c r="V183" s="4"/>
      <c r="W183" s="4"/>
      <c r="X183" s="4"/>
      <c r="Y183" s="4"/>
      <c r="Z183" s="4"/>
      <c r="AA183" s="4"/>
      <c r="AB183" s="4"/>
      <c r="AC183" s="4"/>
      <c r="AD183" s="4"/>
      <c r="AE183" s="4"/>
      <c r="AF183" s="4"/>
      <c r="AG183" s="4"/>
      <c r="AH183" s="4"/>
      <c r="AI183" s="4"/>
      <c r="AJ183" s="4"/>
      <c r="AK183" s="4"/>
      <c r="AL183" s="4"/>
      <c r="AM183" s="4"/>
      <c r="AN183" s="4"/>
    </row>
    <row r="184" spans="1:40" x14ac:dyDescent="0.2">
      <c r="A184" s="4"/>
      <c r="S184" s="113"/>
      <c r="T184" s="4"/>
      <c r="U184" s="4"/>
      <c r="V184" s="4"/>
      <c r="W184" s="4"/>
      <c r="X184" s="4"/>
      <c r="Y184" s="4"/>
      <c r="Z184" s="4"/>
      <c r="AA184" s="4"/>
      <c r="AB184" s="4"/>
      <c r="AC184" s="4"/>
      <c r="AD184" s="4"/>
      <c r="AE184" s="4"/>
      <c r="AF184" s="4"/>
      <c r="AG184" s="4"/>
      <c r="AH184" s="4"/>
      <c r="AI184" s="4"/>
      <c r="AJ184" s="4"/>
      <c r="AK184" s="4"/>
      <c r="AL184" s="4"/>
      <c r="AM184" s="4"/>
      <c r="AN184" s="4"/>
    </row>
    <row r="185" spans="1:40" x14ac:dyDescent="0.2">
      <c r="A185" s="4"/>
      <c r="S185" s="113"/>
      <c r="T185" s="4"/>
      <c r="U185" s="4"/>
      <c r="V185" s="4"/>
      <c r="W185" s="4"/>
      <c r="X185" s="4"/>
      <c r="Y185" s="4"/>
      <c r="Z185" s="4"/>
      <c r="AA185" s="4"/>
      <c r="AB185" s="4"/>
      <c r="AC185" s="4"/>
      <c r="AD185" s="4"/>
      <c r="AE185" s="4"/>
      <c r="AF185" s="4"/>
      <c r="AG185" s="4"/>
      <c r="AH185" s="4"/>
      <c r="AI185" s="4"/>
      <c r="AJ185" s="4"/>
      <c r="AK185" s="4"/>
      <c r="AL185" s="4"/>
      <c r="AM185" s="4"/>
      <c r="AN185" s="4"/>
    </row>
    <row r="186" spans="1:40" x14ac:dyDescent="0.2">
      <c r="A186" s="4"/>
      <c r="S186" s="113"/>
      <c r="T186" s="4"/>
      <c r="U186" s="4"/>
      <c r="V186" s="4"/>
      <c r="W186" s="4"/>
      <c r="X186" s="4"/>
      <c r="Y186" s="4"/>
      <c r="Z186" s="4"/>
      <c r="AA186" s="4"/>
      <c r="AB186" s="4"/>
      <c r="AC186" s="4"/>
      <c r="AD186" s="4"/>
      <c r="AE186" s="4"/>
      <c r="AF186" s="4"/>
      <c r="AG186" s="4"/>
      <c r="AH186" s="4"/>
      <c r="AI186" s="4"/>
      <c r="AJ186" s="4"/>
      <c r="AK186" s="4"/>
      <c r="AL186" s="4"/>
      <c r="AM186" s="4"/>
      <c r="AN186" s="4"/>
    </row>
    <row r="187" spans="1:40" x14ac:dyDescent="0.2">
      <c r="A187" s="4"/>
      <c r="S187" s="113"/>
      <c r="T187" s="4"/>
      <c r="U187" s="4"/>
      <c r="V187" s="4"/>
      <c r="W187" s="4"/>
      <c r="X187" s="4"/>
      <c r="Y187" s="4"/>
      <c r="Z187" s="4"/>
      <c r="AA187" s="4"/>
      <c r="AB187" s="4"/>
      <c r="AC187" s="4"/>
      <c r="AD187" s="4"/>
      <c r="AE187" s="4"/>
      <c r="AF187" s="4"/>
      <c r="AG187" s="4"/>
      <c r="AH187" s="4"/>
      <c r="AI187" s="4"/>
      <c r="AJ187" s="4"/>
      <c r="AK187" s="4"/>
      <c r="AL187" s="4"/>
      <c r="AM187" s="4"/>
      <c r="AN187" s="4"/>
    </row>
    <row r="188" spans="1:40" x14ac:dyDescent="0.2">
      <c r="A188" s="4"/>
      <c r="S188" s="113"/>
      <c r="T188" s="4"/>
      <c r="U188" s="4"/>
      <c r="V188" s="4"/>
      <c r="W188" s="4"/>
      <c r="X188" s="4"/>
      <c r="Y188" s="4"/>
      <c r="Z188" s="4"/>
      <c r="AA188" s="4"/>
      <c r="AB188" s="4"/>
      <c r="AC188" s="4"/>
      <c r="AD188" s="4"/>
      <c r="AE188" s="4"/>
      <c r="AF188" s="4"/>
      <c r="AG188" s="4"/>
      <c r="AH188" s="4"/>
      <c r="AI188" s="4"/>
      <c r="AJ188" s="4"/>
      <c r="AK188" s="4"/>
      <c r="AL188" s="4"/>
      <c r="AM188" s="4"/>
      <c r="AN188" s="4"/>
    </row>
    <row r="189" spans="1:40" x14ac:dyDescent="0.2">
      <c r="A189" s="4"/>
      <c r="S189" s="113"/>
      <c r="T189" s="4"/>
      <c r="U189" s="4"/>
      <c r="V189" s="4"/>
      <c r="W189" s="4"/>
      <c r="X189" s="4"/>
      <c r="Y189" s="4"/>
      <c r="Z189" s="4"/>
      <c r="AA189" s="4"/>
      <c r="AB189" s="4"/>
      <c r="AC189" s="4"/>
      <c r="AD189" s="4"/>
      <c r="AE189" s="4"/>
      <c r="AF189" s="4"/>
      <c r="AG189" s="4"/>
      <c r="AH189" s="4"/>
      <c r="AI189" s="4"/>
      <c r="AJ189" s="4"/>
      <c r="AK189" s="4"/>
      <c r="AL189" s="4"/>
      <c r="AM189" s="4"/>
      <c r="AN189" s="4"/>
    </row>
    <row r="190" spans="1:40" x14ac:dyDescent="0.2">
      <c r="A190" s="4"/>
      <c r="S190" s="113"/>
      <c r="T190" s="4"/>
      <c r="U190" s="4"/>
      <c r="V190" s="4"/>
      <c r="W190" s="4"/>
      <c r="X190" s="4"/>
      <c r="Y190" s="4"/>
      <c r="Z190" s="4"/>
      <c r="AA190" s="4"/>
      <c r="AB190" s="4"/>
      <c r="AC190" s="4"/>
      <c r="AD190" s="4"/>
      <c r="AE190" s="4"/>
      <c r="AF190" s="4"/>
      <c r="AG190" s="4"/>
      <c r="AH190" s="4"/>
      <c r="AI190" s="4"/>
      <c r="AJ190" s="4"/>
      <c r="AK190" s="4"/>
      <c r="AL190" s="4"/>
      <c r="AM190" s="4"/>
      <c r="AN190" s="4"/>
    </row>
    <row r="191" spans="1:40" x14ac:dyDescent="0.2">
      <c r="A191" s="4"/>
      <c r="S191" s="113"/>
      <c r="T191" s="4"/>
      <c r="U191" s="4"/>
      <c r="V191" s="4"/>
      <c r="W191" s="4"/>
      <c r="X191" s="4"/>
      <c r="Y191" s="4"/>
      <c r="Z191" s="4"/>
      <c r="AA191" s="4"/>
      <c r="AB191" s="4"/>
      <c r="AC191" s="4"/>
      <c r="AD191" s="4"/>
      <c r="AE191" s="4"/>
      <c r="AF191" s="4"/>
      <c r="AG191" s="4"/>
      <c r="AH191" s="4"/>
      <c r="AI191" s="4"/>
      <c r="AJ191" s="4"/>
      <c r="AK191" s="4"/>
      <c r="AL191" s="4"/>
      <c r="AM191" s="4"/>
      <c r="AN191" s="4"/>
    </row>
    <row r="192" spans="1:40" x14ac:dyDescent="0.2">
      <c r="A192" s="4"/>
      <c r="S192" s="113"/>
      <c r="T192" s="4"/>
      <c r="U192" s="4"/>
      <c r="V192" s="4"/>
      <c r="W192" s="4"/>
      <c r="X192" s="4"/>
      <c r="Y192" s="4"/>
      <c r="Z192" s="4"/>
      <c r="AA192" s="4"/>
      <c r="AB192" s="4"/>
      <c r="AC192" s="4"/>
      <c r="AD192" s="4"/>
      <c r="AE192" s="4"/>
      <c r="AF192" s="4"/>
      <c r="AG192" s="4"/>
      <c r="AH192" s="4"/>
      <c r="AI192" s="4"/>
      <c r="AJ192" s="4"/>
      <c r="AK192" s="4"/>
      <c r="AL192" s="4"/>
      <c r="AM192" s="4"/>
      <c r="AN192" s="4"/>
    </row>
    <row r="193" spans="1:40" x14ac:dyDescent="0.2">
      <c r="A193" s="4"/>
      <c r="S193" s="113"/>
      <c r="T193" s="4"/>
      <c r="U193" s="4"/>
      <c r="V193" s="4"/>
      <c r="W193" s="4"/>
      <c r="X193" s="4"/>
      <c r="Y193" s="4"/>
      <c r="Z193" s="4"/>
      <c r="AA193" s="4"/>
      <c r="AB193" s="4"/>
      <c r="AC193" s="4"/>
      <c r="AD193" s="4"/>
      <c r="AE193" s="4"/>
      <c r="AF193" s="4"/>
      <c r="AG193" s="4"/>
      <c r="AH193" s="4"/>
      <c r="AI193" s="4"/>
      <c r="AJ193" s="4"/>
      <c r="AK193" s="4"/>
      <c r="AL193" s="4"/>
      <c r="AM193" s="4"/>
      <c r="AN193" s="4"/>
    </row>
    <row r="194" spans="1:40" x14ac:dyDescent="0.2">
      <c r="A194" s="4"/>
      <c r="S194" s="113"/>
      <c r="T194" s="4"/>
      <c r="U194" s="4"/>
      <c r="V194" s="4"/>
      <c r="W194" s="4"/>
      <c r="X194" s="4"/>
      <c r="Y194" s="4"/>
      <c r="Z194" s="4"/>
      <c r="AA194" s="4"/>
      <c r="AB194" s="4"/>
      <c r="AC194" s="4"/>
      <c r="AD194" s="4"/>
      <c r="AE194" s="4"/>
      <c r="AF194" s="4"/>
      <c r="AG194" s="4"/>
      <c r="AH194" s="4"/>
      <c r="AI194" s="4"/>
      <c r="AJ194" s="4"/>
      <c r="AK194" s="4"/>
      <c r="AL194" s="4"/>
      <c r="AM194" s="4"/>
      <c r="AN194" s="4"/>
    </row>
    <row r="195" spans="1:40" x14ac:dyDescent="0.2">
      <c r="A195" s="4"/>
      <c r="S195" s="113"/>
      <c r="T195" s="4"/>
      <c r="U195" s="4"/>
      <c r="V195" s="4"/>
      <c r="W195" s="4"/>
      <c r="X195" s="4"/>
      <c r="Y195" s="4"/>
      <c r="Z195" s="4"/>
      <c r="AA195" s="4"/>
      <c r="AB195" s="4"/>
      <c r="AC195" s="4"/>
      <c r="AD195" s="4"/>
      <c r="AE195" s="4"/>
      <c r="AF195" s="4"/>
      <c r="AG195" s="4"/>
      <c r="AH195" s="4"/>
      <c r="AI195" s="4"/>
      <c r="AJ195" s="4"/>
      <c r="AK195" s="4"/>
      <c r="AL195" s="4"/>
      <c r="AM195" s="4"/>
      <c r="AN195" s="4"/>
    </row>
    <row r="196" spans="1:40" x14ac:dyDescent="0.2">
      <c r="A196" s="4"/>
      <c r="S196" s="113"/>
      <c r="T196" s="4"/>
      <c r="U196" s="4"/>
      <c r="V196" s="4"/>
      <c r="W196" s="4"/>
      <c r="X196" s="4"/>
      <c r="Y196" s="4"/>
      <c r="Z196" s="4"/>
      <c r="AA196" s="4"/>
      <c r="AB196" s="4"/>
      <c r="AC196" s="4"/>
      <c r="AD196" s="4"/>
      <c r="AE196" s="4"/>
      <c r="AF196" s="4"/>
      <c r="AG196" s="4"/>
      <c r="AH196" s="4"/>
      <c r="AI196" s="4"/>
      <c r="AJ196" s="4"/>
      <c r="AK196" s="4"/>
      <c r="AL196" s="4"/>
      <c r="AM196" s="4"/>
      <c r="AN196" s="4"/>
    </row>
    <row r="197" spans="1:40" x14ac:dyDescent="0.2">
      <c r="A197" s="4"/>
      <c r="S197" s="113"/>
      <c r="T197" s="4"/>
      <c r="U197" s="4"/>
      <c r="V197" s="4"/>
      <c r="W197" s="4"/>
      <c r="X197" s="4"/>
      <c r="Y197" s="4"/>
      <c r="Z197" s="4"/>
      <c r="AA197" s="4"/>
      <c r="AB197" s="4"/>
      <c r="AC197" s="4"/>
      <c r="AD197" s="4"/>
      <c r="AE197" s="4"/>
      <c r="AF197" s="4"/>
      <c r="AG197" s="4"/>
      <c r="AH197" s="4"/>
      <c r="AI197" s="4"/>
      <c r="AJ197" s="4"/>
      <c r="AK197" s="4"/>
      <c r="AL197" s="4"/>
      <c r="AM197" s="4"/>
      <c r="AN197" s="4"/>
    </row>
    <row r="198" spans="1:40" x14ac:dyDescent="0.2">
      <c r="A198" s="4"/>
      <c r="S198" s="113"/>
      <c r="T198" s="4"/>
      <c r="U198" s="4"/>
      <c r="V198" s="4"/>
      <c r="W198" s="4"/>
      <c r="X198" s="4"/>
      <c r="Y198" s="4"/>
      <c r="Z198" s="4"/>
      <c r="AA198" s="4"/>
      <c r="AB198" s="4"/>
      <c r="AC198" s="4"/>
      <c r="AD198" s="4"/>
      <c r="AE198" s="4"/>
      <c r="AF198" s="4"/>
      <c r="AG198" s="4"/>
      <c r="AH198" s="4"/>
      <c r="AI198" s="4"/>
      <c r="AJ198" s="4"/>
      <c r="AK198" s="4"/>
      <c r="AL198" s="4"/>
      <c r="AM198" s="4"/>
      <c r="AN198" s="4"/>
    </row>
    <row r="199" spans="1:40" x14ac:dyDescent="0.2">
      <c r="A199" s="4"/>
      <c r="S199" s="113"/>
      <c r="T199" s="4"/>
      <c r="U199" s="4"/>
      <c r="V199" s="4"/>
      <c r="W199" s="4"/>
      <c r="X199" s="4"/>
      <c r="Y199" s="4"/>
      <c r="Z199" s="4"/>
      <c r="AA199" s="4"/>
      <c r="AB199" s="4"/>
      <c r="AC199" s="4"/>
      <c r="AD199" s="4"/>
      <c r="AE199" s="4"/>
      <c r="AF199" s="4"/>
      <c r="AG199" s="4"/>
      <c r="AH199" s="4"/>
      <c r="AI199" s="4"/>
      <c r="AJ199" s="4"/>
      <c r="AK199" s="4"/>
      <c r="AL199" s="4"/>
      <c r="AM199" s="4"/>
      <c r="AN199" s="4"/>
    </row>
    <row r="200" spans="1:40" x14ac:dyDescent="0.2">
      <c r="A200" s="4"/>
      <c r="S200" s="113"/>
      <c r="T200" s="4"/>
      <c r="U200" s="4"/>
      <c r="V200" s="4"/>
      <c r="W200" s="4"/>
      <c r="X200" s="4"/>
      <c r="Y200" s="4"/>
      <c r="Z200" s="4"/>
      <c r="AA200" s="4"/>
      <c r="AB200" s="4"/>
      <c r="AC200" s="4"/>
      <c r="AD200" s="4"/>
      <c r="AE200" s="4"/>
      <c r="AF200" s="4"/>
      <c r="AG200" s="4"/>
      <c r="AH200" s="4"/>
      <c r="AI200" s="4"/>
      <c r="AJ200" s="4"/>
      <c r="AK200" s="4"/>
      <c r="AL200" s="4"/>
      <c r="AM200" s="4"/>
      <c r="AN200" s="4"/>
    </row>
    <row r="201" spans="1:40" x14ac:dyDescent="0.2">
      <c r="A201" s="4"/>
      <c r="S201" s="113"/>
      <c r="T201" s="4"/>
      <c r="U201" s="4"/>
      <c r="V201" s="4"/>
      <c r="W201" s="4"/>
      <c r="X201" s="4"/>
      <c r="Y201" s="4"/>
      <c r="Z201" s="4"/>
      <c r="AA201" s="4"/>
      <c r="AB201" s="4"/>
      <c r="AC201" s="4"/>
      <c r="AD201" s="4"/>
      <c r="AE201" s="4"/>
      <c r="AF201" s="4"/>
      <c r="AG201" s="4"/>
      <c r="AH201" s="4"/>
      <c r="AI201" s="4"/>
      <c r="AJ201" s="4"/>
      <c r="AK201" s="4"/>
      <c r="AL201" s="4"/>
      <c r="AM201" s="4"/>
      <c r="AN201" s="4"/>
    </row>
    <row r="202" spans="1:40" x14ac:dyDescent="0.2">
      <c r="A202" s="4"/>
      <c r="S202" s="113"/>
      <c r="T202" s="4"/>
      <c r="U202" s="4"/>
      <c r="V202" s="4"/>
      <c r="W202" s="4"/>
      <c r="X202" s="4"/>
      <c r="Y202" s="4"/>
      <c r="Z202" s="4"/>
      <c r="AA202" s="4"/>
      <c r="AB202" s="4"/>
      <c r="AC202" s="4"/>
      <c r="AD202" s="4"/>
      <c r="AE202" s="4"/>
      <c r="AF202" s="4"/>
      <c r="AG202" s="4"/>
      <c r="AH202" s="4"/>
      <c r="AI202" s="4"/>
      <c r="AJ202" s="4"/>
      <c r="AK202" s="4"/>
      <c r="AL202" s="4"/>
      <c r="AM202" s="4"/>
      <c r="AN202" s="4"/>
    </row>
    <row r="203" spans="1:40" x14ac:dyDescent="0.2">
      <c r="A203" s="4"/>
      <c r="S203" s="113"/>
      <c r="T203" s="4"/>
      <c r="U203" s="4"/>
      <c r="V203" s="4"/>
      <c r="W203" s="4"/>
      <c r="X203" s="4"/>
      <c r="Y203" s="4"/>
      <c r="Z203" s="4"/>
      <c r="AA203" s="4"/>
      <c r="AB203" s="4"/>
      <c r="AC203" s="4"/>
      <c r="AD203" s="4"/>
      <c r="AE203" s="4"/>
      <c r="AF203" s="4"/>
      <c r="AG203" s="4"/>
      <c r="AH203" s="4"/>
      <c r="AI203" s="4"/>
      <c r="AJ203" s="4"/>
      <c r="AK203" s="4"/>
      <c r="AL203" s="4"/>
      <c r="AM203" s="4"/>
      <c r="AN203" s="4"/>
    </row>
    <row r="204" spans="1:40" x14ac:dyDescent="0.2">
      <c r="A204" s="4"/>
      <c r="S204" s="113"/>
      <c r="T204" s="4"/>
      <c r="U204" s="4"/>
      <c r="V204" s="4"/>
      <c r="W204" s="4"/>
      <c r="X204" s="4"/>
      <c r="Y204" s="4"/>
      <c r="Z204" s="4"/>
      <c r="AA204" s="4"/>
      <c r="AB204" s="4"/>
      <c r="AC204" s="4"/>
      <c r="AD204" s="4"/>
      <c r="AE204" s="4"/>
      <c r="AF204" s="4"/>
      <c r="AG204" s="4"/>
      <c r="AH204" s="4"/>
      <c r="AI204" s="4"/>
      <c r="AJ204" s="4"/>
      <c r="AK204" s="4"/>
      <c r="AL204" s="4"/>
      <c r="AM204" s="4"/>
      <c r="AN204" s="4"/>
    </row>
  </sheetData>
  <sheetProtection algorithmName="SHA-512" hashValue="1TEy/hFRxtLk2MZeTjmnCxZKNUoL+iwMb3/vA2fTZfSPxCaWPxPjOPRemSCQWP+pFz92I8V2Uiv/ZeYCaxkZ7w==" saltValue="icUdDPadSMhdRMwnbFnKqg==" spinCount="100000" sheet="1" selectLockedCells="1"/>
  <mergeCells count="2">
    <mergeCell ref="G3:J3"/>
    <mergeCell ref="B1:O1"/>
  </mergeCells>
  <conditionalFormatting sqref="G5:J34">
    <cfRule type="expression" dxfId="174" priority="1">
      <formula>$E5=""</formula>
    </cfRule>
  </conditionalFormatting>
  <dataValidations count="2">
    <dataValidation type="list" allowBlank="1" showInputMessage="1" showErrorMessage="1" sqref="E5:E34" xr:uid="{552C2BFF-90EE-40F2-90A0-77815D73FDC7}">
      <formula1>List_WinFilm_Measure</formula1>
    </dataValidation>
    <dataValidation type="list" allowBlank="1" showInputMessage="1" showErrorMessage="1" sqref="G5:G34" xr:uid="{AB066A27-A6C5-4DA8-A1EC-350D47031E57}">
      <formula1>List_WinFilm_Direction</formula1>
    </dataValidation>
  </dataValidations>
  <pageMargins left="0.7" right="0.7" top="0.75" bottom="0.75" header="0.3" footer="0.3"/>
  <pageSetup scale="75" fitToWidth="0" fitToHeight="0" orientation="landscape" verticalDpi="4294967293" r:id="rId1"/>
  <drawing r:id="rId2"/>
  <legacyDrawing r:id="rId3"/>
  <tableParts count="1">
    <tablePart r:id="rId4"/>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71330-8F56-4B89-86F8-392EAC01700B}">
  <sheetPr>
    <tabColor theme="4"/>
  </sheetPr>
  <dimension ref="A1:AN204"/>
  <sheetViews>
    <sheetView showGridLines="0" showRowColHeaders="0" workbookViewId="0">
      <selection activeCell="D5" sqref="D5"/>
    </sheetView>
  </sheetViews>
  <sheetFormatPr defaultColWidth="9.140625" defaultRowHeight="12.75" x14ac:dyDescent="0.2"/>
  <cols>
    <col min="1" max="1" width="2.140625" customWidth="1"/>
    <col min="2" max="2" width="5.28515625" customWidth="1"/>
    <col min="3" max="3" width="8.140625" customWidth="1"/>
    <col min="4" max="4" width="17.140625" customWidth="1"/>
    <col min="5" max="6" width="29.85546875" customWidth="1"/>
    <col min="7" max="7" width="21.5703125" customWidth="1"/>
    <col min="8" max="8" width="11.5703125" customWidth="1"/>
    <col min="9" max="9" width="12.42578125" customWidth="1"/>
    <col min="10" max="10" width="9.85546875" customWidth="1"/>
    <col min="11" max="11" width="10" customWidth="1"/>
    <col min="12" max="12" width="11" customWidth="1"/>
    <col min="13" max="13" width="12" customWidth="1"/>
    <col min="14" max="14" width="11.85546875" customWidth="1"/>
    <col min="15" max="16" width="10.28515625" customWidth="1"/>
    <col min="17" max="17" width="13.42578125" customWidth="1"/>
    <col min="18" max="18" width="9.5703125" customWidth="1"/>
    <col min="19" max="19" width="25.85546875" style="112" hidden="1" customWidth="1"/>
  </cols>
  <sheetData>
    <row r="1" spans="1:40" ht="37.5" customHeight="1" x14ac:dyDescent="0.2">
      <c r="B1" s="253" t="s">
        <v>552</v>
      </c>
      <c r="C1" s="253"/>
      <c r="D1" s="253"/>
      <c r="E1" s="253"/>
      <c r="F1" s="253"/>
      <c r="G1" s="253"/>
      <c r="H1" s="253"/>
      <c r="I1" s="253"/>
      <c r="J1" s="253"/>
      <c r="K1" s="253"/>
      <c r="L1" s="253"/>
      <c r="M1" s="253"/>
      <c r="N1" s="253"/>
      <c r="O1" s="253"/>
      <c r="P1" s="151"/>
      <c r="Q1" s="151"/>
      <c r="R1" s="151"/>
    </row>
    <row r="2" spans="1:40" x14ac:dyDescent="0.2">
      <c r="L2" s="4"/>
    </row>
    <row r="3" spans="1:40" x14ac:dyDescent="0.2">
      <c r="A3" s="4"/>
      <c r="G3" s="281" t="s">
        <v>75</v>
      </c>
      <c r="H3" s="281"/>
      <c r="I3" s="281"/>
      <c r="J3" s="281"/>
      <c r="K3" s="84" t="s">
        <v>76</v>
      </c>
      <c r="L3" s="145">
        <f>SUM(Table_Controls_Input235[Estimated Incentive])</f>
        <v>0</v>
      </c>
      <c r="M3" s="154">
        <f>SUM(Table_Controls_Input235[Energy Savings (kWh)])</f>
        <v>0</v>
      </c>
      <c r="N3" s="153">
        <f>SUM(Table_Controls_Input235[Demand Reduction (kW)])</f>
        <v>0</v>
      </c>
      <c r="O3" s="145">
        <f>SUM(Table_Controls_Input235[Cost Savings])</f>
        <v>0</v>
      </c>
      <c r="P3" s="145">
        <f>SUM(Table_Controls_Input235[Gross Measure Cost])</f>
        <v>0</v>
      </c>
      <c r="Q3" s="145">
        <f>SUM(Table_Controls_Input235[Net Measure Cost])</f>
        <v>0</v>
      </c>
      <c r="R3" s="83" t="str">
        <f>IFERROR(Q3/O3,"")</f>
        <v/>
      </c>
      <c r="S3" s="113"/>
      <c r="T3" s="4"/>
      <c r="U3" s="4"/>
      <c r="V3" s="4"/>
      <c r="W3" s="4"/>
      <c r="X3" s="4"/>
      <c r="Y3" s="4"/>
      <c r="Z3" s="4"/>
      <c r="AA3" s="4"/>
      <c r="AB3" s="4"/>
      <c r="AC3" s="4"/>
      <c r="AD3" s="4"/>
      <c r="AE3" s="4"/>
      <c r="AF3" s="4"/>
      <c r="AG3" s="4"/>
      <c r="AH3" s="4"/>
      <c r="AI3" s="4"/>
      <c r="AJ3" s="4"/>
      <c r="AK3" s="4"/>
      <c r="AL3" s="4"/>
      <c r="AM3" s="4"/>
      <c r="AN3" s="4"/>
    </row>
    <row r="4" spans="1:40" ht="38.25" x14ac:dyDescent="0.2">
      <c r="A4" s="16"/>
      <c r="B4" s="62" t="s">
        <v>77</v>
      </c>
      <c r="C4" s="63" t="s">
        <v>78</v>
      </c>
      <c r="D4" s="66" t="s">
        <v>79</v>
      </c>
      <c r="E4" s="63" t="s">
        <v>553</v>
      </c>
      <c r="F4" s="64" t="s">
        <v>81</v>
      </c>
      <c r="G4" s="65" t="s">
        <v>113</v>
      </c>
      <c r="H4" s="65" t="s">
        <v>114</v>
      </c>
      <c r="I4" s="65" t="s">
        <v>86</v>
      </c>
      <c r="J4" s="65" t="s">
        <v>87</v>
      </c>
      <c r="K4" s="64" t="s">
        <v>88</v>
      </c>
      <c r="L4" s="64" t="s">
        <v>89</v>
      </c>
      <c r="M4" s="64" t="s">
        <v>90</v>
      </c>
      <c r="N4" s="64" t="s">
        <v>91</v>
      </c>
      <c r="O4" s="64" t="s">
        <v>92</v>
      </c>
      <c r="P4" s="64" t="s">
        <v>93</v>
      </c>
      <c r="Q4" s="64" t="s">
        <v>94</v>
      </c>
      <c r="R4" s="64" t="s">
        <v>95</v>
      </c>
      <c r="S4" s="114" t="s">
        <v>115</v>
      </c>
      <c r="T4" s="16"/>
      <c r="U4" s="16"/>
      <c r="V4" s="16"/>
      <c r="W4" s="16"/>
      <c r="X4" s="16"/>
      <c r="Y4" s="16"/>
      <c r="Z4" s="16"/>
      <c r="AA4" s="16"/>
      <c r="AB4" s="16"/>
      <c r="AC4" s="16"/>
      <c r="AD4" s="16"/>
      <c r="AE4" s="16"/>
      <c r="AF4" s="16"/>
      <c r="AG4" s="16"/>
      <c r="AH4" s="16"/>
      <c r="AI4" s="16"/>
      <c r="AJ4" s="16"/>
      <c r="AK4" s="16"/>
      <c r="AL4" s="16"/>
      <c r="AM4" s="16"/>
      <c r="AN4" s="16"/>
    </row>
    <row r="5" spans="1:40" x14ac:dyDescent="0.2">
      <c r="A5" s="3"/>
      <c r="B5" s="71">
        <v>1</v>
      </c>
      <c r="C5" s="69" t="str">
        <f>IFERROR(INDEX(Table_EffWindow_Savings[Measure No], MATCH(Table_Controls_Input235[[#This Row],[Measure Lookup Detail]], Table_EffWindow_Savings[Lookup Detail], 0)), "")</f>
        <v/>
      </c>
      <c r="D5" s="61"/>
      <c r="E5" s="60"/>
      <c r="F5" s="69" t="str">
        <f>IFERROR(INDEX(Table_Prescript_Meas[Units], MATCH(Table_Controls_Input235[[#This Row],[Measure Number]], Table_Prescript_Meas[Measure Number], 0)), "")</f>
        <v/>
      </c>
      <c r="G5" s="49"/>
      <c r="H5" s="60"/>
      <c r="I5" s="73"/>
      <c r="J5" s="73"/>
      <c r="K5"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5" s="74" t="str">
        <f>IFERROR(Table_Controls_Input235[[#This Row],[Number of Units (Sq.Ft.)]]*Table_Controls_Input235[[#This Row],[Per-Unit Incentive]], "")</f>
        <v/>
      </c>
      <c r="M5" s="75" t="str">
        <f>IFERROR(Table_Controls_Input235[[#This Row],[Number of Units (Sq.Ft.)]]*INDEX(Table_EffWindow_Savings[Deemed kWh Savings], MATCH(Table_Controls_Input235[[#This Row],[Measure Lookup Detail]], Table_EffWindow_Savings[Lookup Detail], 0)),"" )</f>
        <v/>
      </c>
      <c r="N5" s="81" t="str">
        <f>IFERROR(Table_Controls_Input235[[#This Row],[Number of Units (Sq.Ft.)]]*INDEX(Table_EffWindow_Savings[Deemed kW Savings], MATCH(Table_Controls_Input235[[#This Row],[Measure Lookup Detail]], Table_EffWindow_Savings[Lookup Detail], 0)),"" )</f>
        <v/>
      </c>
      <c r="O5" s="74" t="str">
        <f t="shared" ref="O5:O34" si="0">IFERROR(M5*Input_AvgkWhRate, "")</f>
        <v/>
      </c>
      <c r="P5" s="74" t="str">
        <f>IF(Table_Controls_Input235[[#This Row],[Measure Number]]="", "", Table_Controls_Input235[[#This Row],[Total Equipment Cost]]+Table_Controls_Input235[[#This Row],[Total Labor Cost]])</f>
        <v/>
      </c>
      <c r="Q5" s="74" t="str">
        <f>IFERROR(Table_Controls_Input235[[#This Row],[Gross Measure Cost]]-Table_Controls_Input235[[#This Row],[Estimated Incentive]], "")</f>
        <v/>
      </c>
      <c r="R5" s="75" t="str">
        <f t="shared" ref="R5:R34" si="1">IFERROR($Q5/$O5,"")</f>
        <v/>
      </c>
      <c r="S5" s="115" t="str">
        <f>_xlfn.CONCAT(Table_Controls_Input235[[#This Row],[Window Replacement Measure]],Table_Controls_Input235[[#This Row],[Window Direction]])</f>
        <v/>
      </c>
      <c r="T5" s="3"/>
      <c r="U5" s="3"/>
      <c r="V5" s="3"/>
      <c r="W5" s="3"/>
      <c r="X5" s="3"/>
      <c r="Y5" s="3"/>
      <c r="Z5" s="3"/>
      <c r="AA5" s="3"/>
      <c r="AB5" s="3"/>
      <c r="AC5" s="3"/>
      <c r="AD5" s="3"/>
      <c r="AE5" s="3"/>
      <c r="AF5" s="3"/>
      <c r="AG5" s="3"/>
      <c r="AH5" s="3"/>
      <c r="AI5" s="3"/>
      <c r="AJ5" s="3"/>
      <c r="AK5" s="3"/>
      <c r="AL5" s="3"/>
      <c r="AM5" s="3"/>
      <c r="AN5" s="3"/>
    </row>
    <row r="6" spans="1:40" x14ac:dyDescent="0.2">
      <c r="A6" s="3"/>
      <c r="B6" s="71">
        <v>2</v>
      </c>
      <c r="C6" s="69" t="str">
        <f>IFERROR(INDEX(Table_EffWindow_Savings[Measure No], MATCH(Table_Controls_Input235[[#This Row],[Measure Lookup Detail]], Table_EffWindow_Savings[Lookup Detail], 0)), "")</f>
        <v/>
      </c>
      <c r="D6" s="61"/>
      <c r="E6" s="60"/>
      <c r="F6" s="69" t="str">
        <f>IFERROR(INDEX(Table_Prescript_Meas[Units], MATCH(Table_Controls_Input235[[#This Row],[Measure Number]], Table_Prescript_Meas[Measure Number], 0)), "")</f>
        <v/>
      </c>
      <c r="G6" s="49"/>
      <c r="H6" s="60"/>
      <c r="I6" s="73"/>
      <c r="J6" s="73"/>
      <c r="K6"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6" s="74" t="str">
        <f>IFERROR(Table_Controls_Input235[[#This Row],[Number of Units (Sq.Ft.)]]*Table_Controls_Input235[[#This Row],[Per-Unit Incentive]], "")</f>
        <v/>
      </c>
      <c r="M6" s="75" t="str">
        <f>IFERROR(Table_Controls_Input235[[#This Row],[Number of Units (Sq.Ft.)]]*INDEX(Table_EffWindow_Savings[Deemed kWh Savings], MATCH(Table_Controls_Input235[[#This Row],[Measure Lookup Detail]], Table_EffWindow_Savings[Lookup Detail], 0)),"" )</f>
        <v/>
      </c>
      <c r="N6" s="81" t="str">
        <f>IFERROR(Table_Controls_Input235[[#This Row],[Number of Units (Sq.Ft.)]]*INDEX(Table_EffWindow_Savings[Deemed kW Savings], MATCH(Table_Controls_Input235[[#This Row],[Measure Lookup Detail]], Table_EffWindow_Savings[Lookup Detail], 0)),"" )</f>
        <v/>
      </c>
      <c r="O6" s="74" t="str">
        <f t="shared" si="0"/>
        <v/>
      </c>
      <c r="P6" s="74" t="str">
        <f>IF(Table_Controls_Input235[[#This Row],[Measure Number]]="", "", Table_Controls_Input235[[#This Row],[Total Equipment Cost]]+Table_Controls_Input235[[#This Row],[Total Labor Cost]])</f>
        <v/>
      </c>
      <c r="Q6" s="74" t="str">
        <f>IFERROR(Table_Controls_Input235[[#This Row],[Gross Measure Cost]]-Table_Controls_Input235[[#This Row],[Estimated Incentive]], "")</f>
        <v/>
      </c>
      <c r="R6" s="75" t="str">
        <f t="shared" si="1"/>
        <v/>
      </c>
      <c r="S6" s="115" t="str">
        <f>_xlfn.CONCAT(Table_Controls_Input235[[#This Row],[Window Replacement Measure]],Table_Controls_Input235[[#This Row],[Window Direction]])</f>
        <v/>
      </c>
      <c r="T6" s="3"/>
      <c r="U6" s="3"/>
      <c r="V6" s="3"/>
      <c r="W6" s="3"/>
      <c r="X6" s="3"/>
      <c r="Y6" s="3"/>
      <c r="Z6" s="3"/>
      <c r="AA6" s="3"/>
      <c r="AB6" s="3"/>
      <c r="AC6" s="3"/>
      <c r="AD6" s="3"/>
      <c r="AE6" s="3"/>
      <c r="AF6" s="3"/>
      <c r="AG6" s="3"/>
      <c r="AH6" s="3"/>
      <c r="AI6" s="3"/>
      <c r="AJ6" s="3"/>
      <c r="AK6" s="3"/>
      <c r="AL6" s="3"/>
      <c r="AM6" s="3"/>
      <c r="AN6" s="3"/>
    </row>
    <row r="7" spans="1:40" x14ac:dyDescent="0.2">
      <c r="A7" s="3"/>
      <c r="B7" s="71">
        <v>3</v>
      </c>
      <c r="C7" s="69" t="str">
        <f>IFERROR(INDEX(Table_EffWindow_Savings[Measure No], MATCH(Table_Controls_Input235[[#This Row],[Measure Lookup Detail]], Table_EffWindow_Savings[Lookup Detail], 0)), "")</f>
        <v/>
      </c>
      <c r="D7" s="61"/>
      <c r="E7" s="60"/>
      <c r="F7" s="69" t="str">
        <f>IFERROR(INDEX(Table_Prescript_Meas[Units], MATCH(Table_Controls_Input235[[#This Row],[Measure Number]], Table_Prescript_Meas[Measure Number], 0)), "")</f>
        <v/>
      </c>
      <c r="G7" s="49"/>
      <c r="H7" s="60"/>
      <c r="I7" s="73"/>
      <c r="J7" s="73"/>
      <c r="K7"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7" s="74" t="str">
        <f>IFERROR(Table_Controls_Input235[[#This Row],[Number of Units (Sq.Ft.)]]*Table_Controls_Input235[[#This Row],[Per-Unit Incentive]], "")</f>
        <v/>
      </c>
      <c r="M7" s="75" t="str">
        <f>IFERROR(Table_Controls_Input235[[#This Row],[Number of Units (Sq.Ft.)]]*INDEX(Table_EffWindow_Savings[Deemed kWh Savings], MATCH(Table_Controls_Input235[[#This Row],[Measure Lookup Detail]], Table_EffWindow_Savings[Lookup Detail], 0)),"" )</f>
        <v/>
      </c>
      <c r="N7" s="81" t="str">
        <f>IFERROR(Table_Controls_Input235[[#This Row],[Number of Units (Sq.Ft.)]]*INDEX(Table_EffWindow_Savings[Deemed kW Savings], MATCH(Table_Controls_Input235[[#This Row],[Measure Lookup Detail]], Table_EffWindow_Savings[Lookup Detail], 0)),"" )</f>
        <v/>
      </c>
      <c r="O7" s="74" t="str">
        <f t="shared" si="0"/>
        <v/>
      </c>
      <c r="P7" s="74" t="str">
        <f>IF(Table_Controls_Input235[[#This Row],[Measure Number]]="", "", Table_Controls_Input235[[#This Row],[Total Equipment Cost]]+Table_Controls_Input235[[#This Row],[Total Labor Cost]])</f>
        <v/>
      </c>
      <c r="Q7" s="74" t="str">
        <f>IFERROR(Table_Controls_Input235[[#This Row],[Gross Measure Cost]]-Table_Controls_Input235[[#This Row],[Estimated Incentive]], "")</f>
        <v/>
      </c>
      <c r="R7" s="75" t="str">
        <f t="shared" si="1"/>
        <v/>
      </c>
      <c r="S7" s="115" t="str">
        <f>_xlfn.CONCAT(Table_Controls_Input235[[#This Row],[Window Replacement Measure]],Table_Controls_Input235[[#This Row],[Window Direction]])</f>
        <v/>
      </c>
      <c r="T7" s="3"/>
      <c r="U7" s="3"/>
      <c r="V7" s="3"/>
      <c r="W7" s="3"/>
      <c r="X7" s="3"/>
      <c r="Y7" s="3"/>
      <c r="Z7" s="3"/>
      <c r="AA7" s="3"/>
      <c r="AB7" s="3"/>
      <c r="AC7" s="3"/>
      <c r="AD7" s="3"/>
      <c r="AE7" s="3"/>
      <c r="AF7" s="3"/>
      <c r="AG7" s="3"/>
      <c r="AH7" s="3"/>
      <c r="AI7" s="3"/>
      <c r="AJ7" s="3"/>
      <c r="AK7" s="3"/>
      <c r="AL7" s="3"/>
      <c r="AM7" s="3"/>
      <c r="AN7" s="3"/>
    </row>
    <row r="8" spans="1:40" x14ac:dyDescent="0.2">
      <c r="A8" s="3"/>
      <c r="B8" s="71">
        <v>4</v>
      </c>
      <c r="C8" s="69" t="str">
        <f>IFERROR(INDEX(Table_EffWindow_Savings[Measure No], MATCH(Table_Controls_Input235[[#This Row],[Measure Lookup Detail]], Table_EffWindow_Savings[Lookup Detail], 0)), "")</f>
        <v/>
      </c>
      <c r="D8" s="61"/>
      <c r="E8" s="60"/>
      <c r="F8" s="69" t="str">
        <f>IFERROR(INDEX(Table_Prescript_Meas[Units], MATCH(Table_Controls_Input235[[#This Row],[Measure Number]], Table_Prescript_Meas[Measure Number], 0)), "")</f>
        <v/>
      </c>
      <c r="G8" s="49"/>
      <c r="H8" s="60"/>
      <c r="I8" s="73"/>
      <c r="J8" s="73"/>
      <c r="K8"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8" s="74" t="str">
        <f>IFERROR(Table_Controls_Input235[[#This Row],[Number of Units (Sq.Ft.)]]*Table_Controls_Input235[[#This Row],[Per-Unit Incentive]], "")</f>
        <v/>
      </c>
      <c r="M8" s="75" t="str">
        <f>IFERROR(Table_Controls_Input235[[#This Row],[Number of Units (Sq.Ft.)]]*INDEX(Table_EffWindow_Savings[Deemed kWh Savings], MATCH(Table_Controls_Input235[[#This Row],[Measure Lookup Detail]], Table_EffWindow_Savings[Lookup Detail], 0)),"" )</f>
        <v/>
      </c>
      <c r="N8" s="81" t="str">
        <f>IFERROR(Table_Controls_Input235[[#This Row],[Number of Units (Sq.Ft.)]]*INDEX(Table_EffWindow_Savings[Deemed kW Savings], MATCH(Table_Controls_Input235[[#This Row],[Measure Lookup Detail]], Table_EffWindow_Savings[Lookup Detail], 0)),"" )</f>
        <v/>
      </c>
      <c r="O8" s="74" t="str">
        <f t="shared" si="0"/>
        <v/>
      </c>
      <c r="P8" s="74" t="str">
        <f>IF(Table_Controls_Input235[[#This Row],[Measure Number]]="", "", Table_Controls_Input235[[#This Row],[Total Equipment Cost]]+Table_Controls_Input235[[#This Row],[Total Labor Cost]])</f>
        <v/>
      </c>
      <c r="Q8" s="74" t="str">
        <f>IFERROR(Table_Controls_Input235[[#This Row],[Gross Measure Cost]]-Table_Controls_Input235[[#This Row],[Estimated Incentive]], "")</f>
        <v/>
      </c>
      <c r="R8" s="75" t="str">
        <f t="shared" si="1"/>
        <v/>
      </c>
      <c r="S8" s="115" t="str">
        <f>_xlfn.CONCAT(Table_Controls_Input235[[#This Row],[Window Replacement Measure]],Table_Controls_Input235[[#This Row],[Window Direction]])</f>
        <v/>
      </c>
      <c r="T8" s="3"/>
      <c r="U8" s="3"/>
      <c r="V8" s="3"/>
      <c r="W8" s="3"/>
      <c r="X8" s="3"/>
      <c r="Y8" s="3"/>
      <c r="Z8" s="3"/>
      <c r="AA8" s="3"/>
      <c r="AB8" s="3"/>
      <c r="AC8" s="3"/>
      <c r="AD8" s="3"/>
      <c r="AE8" s="3"/>
      <c r="AF8" s="3"/>
      <c r="AG8" s="3"/>
      <c r="AH8" s="3"/>
      <c r="AI8" s="3"/>
      <c r="AJ8" s="3"/>
      <c r="AK8" s="3"/>
      <c r="AL8" s="3"/>
      <c r="AM8" s="3"/>
      <c r="AN8" s="3"/>
    </row>
    <row r="9" spans="1:40" x14ac:dyDescent="0.2">
      <c r="A9" s="3"/>
      <c r="B9" s="71">
        <v>5</v>
      </c>
      <c r="C9" s="69" t="str">
        <f>IFERROR(INDEX(Table_EffWindow_Savings[Measure No], MATCH(Table_Controls_Input235[[#This Row],[Measure Lookup Detail]], Table_EffWindow_Savings[Lookup Detail], 0)), "")</f>
        <v/>
      </c>
      <c r="D9" s="61"/>
      <c r="E9" s="60"/>
      <c r="F9" s="69" t="str">
        <f>IFERROR(INDEX(Table_Prescript_Meas[Units], MATCH(Table_Controls_Input235[[#This Row],[Measure Number]], Table_Prescript_Meas[Measure Number], 0)), "")</f>
        <v/>
      </c>
      <c r="G9" s="49"/>
      <c r="H9" s="60"/>
      <c r="I9" s="73"/>
      <c r="J9" s="73"/>
      <c r="K9"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9" s="74" t="str">
        <f>IFERROR(Table_Controls_Input235[[#This Row],[Number of Units (Sq.Ft.)]]*Table_Controls_Input235[[#This Row],[Per-Unit Incentive]], "")</f>
        <v/>
      </c>
      <c r="M9" s="75" t="str">
        <f>IFERROR(Table_Controls_Input235[[#This Row],[Number of Units (Sq.Ft.)]]*INDEX(Table_EffWindow_Savings[Deemed kWh Savings], MATCH(Table_Controls_Input235[[#This Row],[Measure Lookup Detail]], Table_EffWindow_Savings[Lookup Detail], 0)),"" )</f>
        <v/>
      </c>
      <c r="N9" s="81" t="str">
        <f>IFERROR(Table_Controls_Input235[[#This Row],[Number of Units (Sq.Ft.)]]*INDEX(Table_EffWindow_Savings[Deemed kW Savings], MATCH(Table_Controls_Input235[[#This Row],[Measure Lookup Detail]], Table_EffWindow_Savings[Lookup Detail], 0)),"" )</f>
        <v/>
      </c>
      <c r="O9" s="74" t="str">
        <f t="shared" si="0"/>
        <v/>
      </c>
      <c r="P9" s="74" t="str">
        <f>IF(Table_Controls_Input235[[#This Row],[Measure Number]]="", "", Table_Controls_Input235[[#This Row],[Total Equipment Cost]]+Table_Controls_Input235[[#This Row],[Total Labor Cost]])</f>
        <v/>
      </c>
      <c r="Q9" s="74" t="str">
        <f>IFERROR(Table_Controls_Input235[[#This Row],[Gross Measure Cost]]-Table_Controls_Input235[[#This Row],[Estimated Incentive]], "")</f>
        <v/>
      </c>
      <c r="R9" s="75" t="str">
        <f t="shared" si="1"/>
        <v/>
      </c>
      <c r="S9" s="115" t="str">
        <f>_xlfn.CONCAT(Table_Controls_Input235[[#This Row],[Window Replacement Measure]],Table_Controls_Input235[[#This Row],[Window Direction]])</f>
        <v/>
      </c>
      <c r="T9" s="3"/>
      <c r="U9" s="3"/>
      <c r="V9" s="3"/>
      <c r="W9" s="3"/>
      <c r="X9" s="3"/>
      <c r="Y9" s="3"/>
      <c r="Z9" s="3"/>
      <c r="AA9" s="3"/>
      <c r="AB9" s="3"/>
      <c r="AC9" s="3"/>
      <c r="AD9" s="3"/>
      <c r="AE9" s="3"/>
      <c r="AF9" s="3"/>
      <c r="AG9" s="3"/>
      <c r="AH9" s="3"/>
      <c r="AI9" s="3"/>
      <c r="AJ9" s="3"/>
      <c r="AK9" s="3"/>
      <c r="AL9" s="3"/>
      <c r="AM9" s="3"/>
      <c r="AN9" s="3"/>
    </row>
    <row r="10" spans="1:40" x14ac:dyDescent="0.2">
      <c r="A10" s="3"/>
      <c r="B10" s="71">
        <v>6</v>
      </c>
      <c r="C10" s="69" t="str">
        <f>IFERROR(INDEX(Table_EffWindow_Savings[Measure No], MATCH(Table_Controls_Input235[[#This Row],[Measure Lookup Detail]], Table_EffWindow_Savings[Lookup Detail], 0)), "")</f>
        <v/>
      </c>
      <c r="D10" s="61"/>
      <c r="E10" s="60"/>
      <c r="F10" s="69" t="str">
        <f>IFERROR(INDEX(Table_Prescript_Meas[Units], MATCH(Table_Controls_Input235[[#This Row],[Measure Number]], Table_Prescript_Meas[Measure Number], 0)), "")</f>
        <v/>
      </c>
      <c r="G10" s="49"/>
      <c r="H10" s="60"/>
      <c r="I10" s="73"/>
      <c r="J10" s="73"/>
      <c r="K10"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10" s="74" t="str">
        <f>IFERROR(Table_Controls_Input235[[#This Row],[Number of Units (Sq.Ft.)]]*Table_Controls_Input235[[#This Row],[Per-Unit Incentive]], "")</f>
        <v/>
      </c>
      <c r="M10" s="75" t="str">
        <f>IFERROR(Table_Controls_Input235[[#This Row],[Number of Units (Sq.Ft.)]]*INDEX(Table_EffWindow_Savings[Deemed kWh Savings], MATCH(Table_Controls_Input235[[#This Row],[Measure Lookup Detail]], Table_EffWindow_Savings[Lookup Detail], 0)),"" )</f>
        <v/>
      </c>
      <c r="N10" s="81" t="str">
        <f>IFERROR(Table_Controls_Input235[[#This Row],[Number of Units (Sq.Ft.)]]*INDEX(Table_EffWindow_Savings[Deemed kW Savings], MATCH(Table_Controls_Input235[[#This Row],[Measure Lookup Detail]], Table_EffWindow_Savings[Lookup Detail], 0)),"" )</f>
        <v/>
      </c>
      <c r="O10" s="74" t="str">
        <f t="shared" si="0"/>
        <v/>
      </c>
      <c r="P10" s="74" t="str">
        <f>IF(Table_Controls_Input235[[#This Row],[Measure Number]]="", "", Table_Controls_Input235[[#This Row],[Total Equipment Cost]]+Table_Controls_Input235[[#This Row],[Total Labor Cost]])</f>
        <v/>
      </c>
      <c r="Q10" s="74" t="str">
        <f>IFERROR(Table_Controls_Input235[[#This Row],[Gross Measure Cost]]-Table_Controls_Input235[[#This Row],[Estimated Incentive]], "")</f>
        <v/>
      </c>
      <c r="R10" s="75" t="str">
        <f t="shared" si="1"/>
        <v/>
      </c>
      <c r="S10" s="115" t="str">
        <f>_xlfn.CONCAT(Table_Controls_Input235[[#This Row],[Window Replacement Measure]],Table_Controls_Input235[[#This Row],[Window Direction]])</f>
        <v/>
      </c>
      <c r="T10" s="3"/>
      <c r="U10" s="3"/>
      <c r="V10" s="3"/>
      <c r="W10" s="3"/>
      <c r="X10" s="3"/>
      <c r="Y10" s="3"/>
      <c r="Z10" s="3"/>
      <c r="AA10" s="3"/>
      <c r="AB10" s="3"/>
      <c r="AC10" s="3"/>
      <c r="AD10" s="3"/>
      <c r="AE10" s="3"/>
      <c r="AF10" s="3"/>
      <c r="AG10" s="3"/>
      <c r="AH10" s="3"/>
      <c r="AI10" s="3"/>
      <c r="AJ10" s="3"/>
      <c r="AK10" s="3"/>
      <c r="AL10" s="3"/>
      <c r="AM10" s="3"/>
      <c r="AN10" s="3"/>
    </row>
    <row r="11" spans="1:40" x14ac:dyDescent="0.2">
      <c r="A11" s="3"/>
      <c r="B11" s="71">
        <v>7</v>
      </c>
      <c r="C11" s="69" t="str">
        <f>IFERROR(INDEX(Table_EffWindow_Savings[Measure No], MATCH(Table_Controls_Input235[[#This Row],[Measure Lookup Detail]], Table_EffWindow_Savings[Lookup Detail], 0)), "")</f>
        <v/>
      </c>
      <c r="D11" s="61"/>
      <c r="E11" s="60"/>
      <c r="F11" s="69" t="str">
        <f>IFERROR(INDEX(Table_Prescript_Meas[Units], MATCH(Table_Controls_Input235[[#This Row],[Measure Number]], Table_Prescript_Meas[Measure Number], 0)), "")</f>
        <v/>
      </c>
      <c r="G11" s="49"/>
      <c r="H11" s="60"/>
      <c r="I11" s="73"/>
      <c r="J11" s="73"/>
      <c r="K11"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11" s="74" t="str">
        <f>IFERROR(Table_Controls_Input235[[#This Row],[Number of Units (Sq.Ft.)]]*Table_Controls_Input235[[#This Row],[Per-Unit Incentive]], "")</f>
        <v/>
      </c>
      <c r="M11" s="75" t="str">
        <f>IFERROR(Table_Controls_Input235[[#This Row],[Number of Units (Sq.Ft.)]]*INDEX(Table_EffWindow_Savings[Deemed kWh Savings], MATCH(Table_Controls_Input235[[#This Row],[Measure Lookup Detail]], Table_EffWindow_Savings[Lookup Detail], 0)),"" )</f>
        <v/>
      </c>
      <c r="N11" s="81" t="str">
        <f>IFERROR(Table_Controls_Input235[[#This Row],[Number of Units (Sq.Ft.)]]*INDEX(Table_EffWindow_Savings[Deemed kW Savings], MATCH(Table_Controls_Input235[[#This Row],[Measure Lookup Detail]], Table_EffWindow_Savings[Lookup Detail], 0)),"" )</f>
        <v/>
      </c>
      <c r="O11" s="74" t="str">
        <f t="shared" si="0"/>
        <v/>
      </c>
      <c r="P11" s="74" t="str">
        <f>IF(Table_Controls_Input235[[#This Row],[Measure Number]]="", "", Table_Controls_Input235[[#This Row],[Total Equipment Cost]]+Table_Controls_Input235[[#This Row],[Total Labor Cost]])</f>
        <v/>
      </c>
      <c r="Q11" s="74" t="str">
        <f>IFERROR(Table_Controls_Input235[[#This Row],[Gross Measure Cost]]-Table_Controls_Input235[[#This Row],[Estimated Incentive]], "")</f>
        <v/>
      </c>
      <c r="R11" s="75" t="str">
        <f t="shared" si="1"/>
        <v/>
      </c>
      <c r="S11" s="115" t="str">
        <f>_xlfn.CONCAT(Table_Controls_Input235[[#This Row],[Window Replacement Measure]],Table_Controls_Input235[[#This Row],[Window Direction]])</f>
        <v/>
      </c>
      <c r="T11" s="3"/>
      <c r="U11" s="3"/>
      <c r="V11" s="3"/>
      <c r="W11" s="3"/>
      <c r="X11" s="3"/>
      <c r="Y11" s="3"/>
      <c r="Z11" s="3"/>
      <c r="AA11" s="3"/>
      <c r="AB11" s="3"/>
      <c r="AC11" s="3"/>
      <c r="AD11" s="3"/>
      <c r="AE11" s="3"/>
      <c r="AF11" s="3"/>
      <c r="AG11" s="3"/>
      <c r="AH11" s="3"/>
      <c r="AI11" s="3"/>
      <c r="AJ11" s="3"/>
      <c r="AK11" s="3"/>
      <c r="AL11" s="3"/>
      <c r="AM11" s="3"/>
      <c r="AN11" s="3"/>
    </row>
    <row r="12" spans="1:40" ht="10.5" customHeight="1" x14ac:dyDescent="0.2">
      <c r="A12" s="3"/>
      <c r="B12" s="71">
        <v>8</v>
      </c>
      <c r="C12" s="69" t="str">
        <f>IFERROR(INDEX(Table_EffWindow_Savings[Measure No], MATCH(Table_Controls_Input235[[#This Row],[Measure Lookup Detail]], Table_EffWindow_Savings[Lookup Detail], 0)), "")</f>
        <v/>
      </c>
      <c r="D12" s="61"/>
      <c r="E12" s="60"/>
      <c r="F12" s="69" t="str">
        <f>IFERROR(INDEX(Table_Prescript_Meas[Units], MATCH(Table_Controls_Input235[[#This Row],[Measure Number]], Table_Prescript_Meas[Measure Number], 0)), "")</f>
        <v/>
      </c>
      <c r="G12" s="49"/>
      <c r="H12" s="60"/>
      <c r="I12" s="73"/>
      <c r="J12" s="73"/>
      <c r="K12"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12" s="74" t="str">
        <f>IFERROR(Table_Controls_Input235[[#This Row],[Number of Units (Sq.Ft.)]]*Table_Controls_Input235[[#This Row],[Per-Unit Incentive]], "")</f>
        <v/>
      </c>
      <c r="M12" s="75" t="str">
        <f>IFERROR(Table_Controls_Input235[[#This Row],[Number of Units (Sq.Ft.)]]*INDEX(Table_EffWindow_Savings[Deemed kWh Savings], MATCH(Table_Controls_Input235[[#This Row],[Measure Lookup Detail]], Table_EffWindow_Savings[Lookup Detail], 0)),"" )</f>
        <v/>
      </c>
      <c r="N12" s="81" t="str">
        <f>IFERROR(Table_Controls_Input235[[#This Row],[Number of Units (Sq.Ft.)]]*INDEX(Table_EffWindow_Savings[Deemed kW Savings], MATCH(Table_Controls_Input235[[#This Row],[Measure Lookup Detail]], Table_EffWindow_Savings[Lookup Detail], 0)),"" )</f>
        <v/>
      </c>
      <c r="O12" s="74" t="str">
        <f t="shared" si="0"/>
        <v/>
      </c>
      <c r="P12" s="74" t="str">
        <f>IF(Table_Controls_Input235[[#This Row],[Measure Number]]="", "", Table_Controls_Input235[[#This Row],[Total Equipment Cost]]+Table_Controls_Input235[[#This Row],[Total Labor Cost]])</f>
        <v/>
      </c>
      <c r="Q12" s="74" t="str">
        <f>IFERROR(Table_Controls_Input235[[#This Row],[Gross Measure Cost]]-Table_Controls_Input235[[#This Row],[Estimated Incentive]], "")</f>
        <v/>
      </c>
      <c r="R12" s="75" t="str">
        <f t="shared" si="1"/>
        <v/>
      </c>
      <c r="S12" s="115" t="str">
        <f>_xlfn.CONCAT(Table_Controls_Input235[[#This Row],[Window Replacement Measure]],Table_Controls_Input235[[#This Row],[Window Direction]])</f>
        <v/>
      </c>
      <c r="T12" s="3"/>
      <c r="U12" s="3"/>
      <c r="V12" s="3"/>
      <c r="W12" s="3"/>
      <c r="X12" s="3"/>
      <c r="Y12" s="3"/>
      <c r="Z12" s="3"/>
      <c r="AA12" s="3"/>
      <c r="AB12" s="3"/>
      <c r="AC12" s="3"/>
      <c r="AD12" s="3"/>
      <c r="AE12" s="3"/>
      <c r="AF12" s="3"/>
      <c r="AG12" s="3"/>
      <c r="AH12" s="3"/>
      <c r="AI12" s="3"/>
      <c r="AJ12" s="3"/>
      <c r="AK12" s="3"/>
      <c r="AL12" s="3"/>
      <c r="AM12" s="3"/>
      <c r="AN12" s="3"/>
    </row>
    <row r="13" spans="1:40" x14ac:dyDescent="0.2">
      <c r="A13" s="3"/>
      <c r="B13" s="71">
        <v>9</v>
      </c>
      <c r="C13" s="69" t="str">
        <f>IFERROR(INDEX(Table_EffWindow_Savings[Measure No], MATCH(Table_Controls_Input235[[#This Row],[Measure Lookup Detail]], Table_EffWindow_Savings[Lookup Detail], 0)), "")</f>
        <v/>
      </c>
      <c r="D13" s="61"/>
      <c r="E13" s="60"/>
      <c r="F13" s="69" t="str">
        <f>IFERROR(INDEX(Table_Prescript_Meas[Units], MATCH(Table_Controls_Input235[[#This Row],[Measure Number]], Table_Prescript_Meas[Measure Number], 0)), "")</f>
        <v/>
      </c>
      <c r="G13" s="49"/>
      <c r="H13" s="60"/>
      <c r="I13" s="73"/>
      <c r="J13" s="73"/>
      <c r="K13"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13" s="74" t="str">
        <f>IFERROR(Table_Controls_Input235[[#This Row],[Number of Units (Sq.Ft.)]]*Table_Controls_Input235[[#This Row],[Per-Unit Incentive]], "")</f>
        <v/>
      </c>
      <c r="M13" s="75" t="str">
        <f>IFERROR(Table_Controls_Input235[[#This Row],[Number of Units (Sq.Ft.)]]*INDEX(Table_EffWindow_Savings[Deemed kWh Savings], MATCH(Table_Controls_Input235[[#This Row],[Measure Lookup Detail]], Table_EffWindow_Savings[Lookup Detail], 0)),"" )</f>
        <v/>
      </c>
      <c r="N13" s="81" t="str">
        <f>IFERROR(Table_Controls_Input235[[#This Row],[Number of Units (Sq.Ft.)]]*INDEX(Table_EffWindow_Savings[Deemed kW Savings], MATCH(Table_Controls_Input235[[#This Row],[Measure Lookup Detail]], Table_EffWindow_Savings[Lookup Detail], 0)),"" )</f>
        <v/>
      </c>
      <c r="O13" s="74" t="str">
        <f t="shared" si="0"/>
        <v/>
      </c>
      <c r="P13" s="74" t="str">
        <f>IF(Table_Controls_Input235[[#This Row],[Measure Number]]="", "", Table_Controls_Input235[[#This Row],[Total Equipment Cost]]+Table_Controls_Input235[[#This Row],[Total Labor Cost]])</f>
        <v/>
      </c>
      <c r="Q13" s="74" t="str">
        <f>IFERROR(Table_Controls_Input235[[#This Row],[Gross Measure Cost]]-Table_Controls_Input235[[#This Row],[Estimated Incentive]], "")</f>
        <v/>
      </c>
      <c r="R13" s="75" t="str">
        <f t="shared" si="1"/>
        <v/>
      </c>
      <c r="S13" s="115" t="str">
        <f>_xlfn.CONCAT(Table_Controls_Input235[[#This Row],[Window Replacement Measure]],Table_Controls_Input235[[#This Row],[Window Direction]])</f>
        <v/>
      </c>
      <c r="T13" s="3"/>
      <c r="U13" s="3"/>
      <c r="V13" s="3"/>
      <c r="W13" s="3"/>
      <c r="X13" s="3"/>
      <c r="Y13" s="3"/>
      <c r="Z13" s="3"/>
      <c r="AA13" s="3"/>
      <c r="AB13" s="3"/>
      <c r="AC13" s="3"/>
      <c r="AD13" s="3"/>
      <c r="AE13" s="3"/>
      <c r="AF13" s="3"/>
      <c r="AG13" s="3"/>
      <c r="AH13" s="3"/>
      <c r="AI13" s="3"/>
      <c r="AJ13" s="3"/>
      <c r="AK13" s="3"/>
      <c r="AL13" s="3"/>
      <c r="AM13" s="3"/>
      <c r="AN13" s="3"/>
    </row>
    <row r="14" spans="1:40" x14ac:dyDescent="0.2">
      <c r="A14" s="3"/>
      <c r="B14" s="71">
        <v>10</v>
      </c>
      <c r="C14" s="69" t="str">
        <f>IFERROR(INDEX(Table_EffWindow_Savings[Measure No], MATCH(Table_Controls_Input235[[#This Row],[Measure Lookup Detail]], Table_EffWindow_Savings[Lookup Detail], 0)), "")</f>
        <v/>
      </c>
      <c r="D14" s="61"/>
      <c r="E14" s="60"/>
      <c r="F14" s="69" t="str">
        <f>IFERROR(INDEX(Table_Prescript_Meas[Units], MATCH(Table_Controls_Input235[[#This Row],[Measure Number]], Table_Prescript_Meas[Measure Number], 0)), "")</f>
        <v/>
      </c>
      <c r="G14" s="49"/>
      <c r="H14" s="60"/>
      <c r="I14" s="73"/>
      <c r="J14" s="73"/>
      <c r="K14"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14" s="74" t="str">
        <f>IFERROR(Table_Controls_Input235[[#This Row],[Number of Units (Sq.Ft.)]]*Table_Controls_Input235[[#This Row],[Per-Unit Incentive]], "")</f>
        <v/>
      </c>
      <c r="M14" s="75" t="str">
        <f>IFERROR(Table_Controls_Input235[[#This Row],[Number of Units (Sq.Ft.)]]*INDEX(Table_EffWindow_Savings[Deemed kWh Savings], MATCH(Table_Controls_Input235[[#This Row],[Measure Lookup Detail]], Table_EffWindow_Savings[Lookup Detail], 0)),"" )</f>
        <v/>
      </c>
      <c r="N14" s="81" t="str">
        <f>IFERROR(Table_Controls_Input235[[#This Row],[Number of Units (Sq.Ft.)]]*INDEX(Table_EffWindow_Savings[Deemed kW Savings], MATCH(Table_Controls_Input235[[#This Row],[Measure Lookup Detail]], Table_EffWindow_Savings[Lookup Detail], 0)),"" )</f>
        <v/>
      </c>
      <c r="O14" s="74" t="str">
        <f t="shared" si="0"/>
        <v/>
      </c>
      <c r="P14" s="74" t="str">
        <f>IF(Table_Controls_Input235[[#This Row],[Measure Number]]="", "", Table_Controls_Input235[[#This Row],[Total Equipment Cost]]+Table_Controls_Input235[[#This Row],[Total Labor Cost]])</f>
        <v/>
      </c>
      <c r="Q14" s="74" t="str">
        <f>IFERROR(Table_Controls_Input235[[#This Row],[Gross Measure Cost]]-Table_Controls_Input235[[#This Row],[Estimated Incentive]], "")</f>
        <v/>
      </c>
      <c r="R14" s="75" t="str">
        <f t="shared" si="1"/>
        <v/>
      </c>
      <c r="S14" s="115" t="str">
        <f>_xlfn.CONCAT(Table_Controls_Input235[[#This Row],[Window Replacement Measure]],Table_Controls_Input235[[#This Row],[Window Direction]])</f>
        <v/>
      </c>
      <c r="T14" s="3"/>
      <c r="U14" s="3"/>
      <c r="V14" s="3"/>
      <c r="W14" s="3"/>
      <c r="X14" s="3"/>
      <c r="Y14" s="3"/>
      <c r="Z14" s="3"/>
      <c r="AA14" s="3"/>
      <c r="AB14" s="3"/>
      <c r="AC14" s="3"/>
      <c r="AD14" s="3"/>
      <c r="AE14" s="3"/>
      <c r="AF14" s="3"/>
      <c r="AG14" s="3"/>
      <c r="AH14" s="3"/>
      <c r="AI14" s="3"/>
      <c r="AJ14" s="3"/>
      <c r="AK14" s="3"/>
      <c r="AL14" s="3"/>
      <c r="AM14" s="3"/>
      <c r="AN14" s="3"/>
    </row>
    <row r="15" spans="1:40" x14ac:dyDescent="0.2">
      <c r="A15" s="3"/>
      <c r="B15" s="71">
        <v>11</v>
      </c>
      <c r="C15" s="69" t="str">
        <f>IFERROR(INDEX(Table_EffWindow_Savings[Measure No], MATCH(Table_Controls_Input235[[#This Row],[Measure Lookup Detail]], Table_EffWindow_Savings[Lookup Detail], 0)), "")</f>
        <v/>
      </c>
      <c r="D15" s="61"/>
      <c r="E15" s="60"/>
      <c r="F15" s="69" t="str">
        <f>IFERROR(INDEX(Table_Prescript_Meas[Units], MATCH(Table_Controls_Input235[[#This Row],[Measure Number]], Table_Prescript_Meas[Measure Number], 0)), "")</f>
        <v/>
      </c>
      <c r="G15" s="49"/>
      <c r="H15" s="60"/>
      <c r="I15" s="73"/>
      <c r="J15" s="73"/>
      <c r="K15"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15" s="74" t="str">
        <f>IFERROR(Table_Controls_Input235[[#This Row],[Number of Units (Sq.Ft.)]]*Table_Controls_Input235[[#This Row],[Per-Unit Incentive]], "")</f>
        <v/>
      </c>
      <c r="M15" s="75" t="str">
        <f>IFERROR(Table_Controls_Input235[[#This Row],[Number of Units (Sq.Ft.)]]*INDEX(Table_EffWindow_Savings[Deemed kWh Savings], MATCH(Table_Controls_Input235[[#This Row],[Measure Lookup Detail]], Table_EffWindow_Savings[Lookup Detail], 0)),"" )</f>
        <v/>
      </c>
      <c r="N15" s="81" t="str">
        <f>IFERROR(Table_Controls_Input235[[#This Row],[Number of Units (Sq.Ft.)]]*INDEX(Table_EffWindow_Savings[Deemed kW Savings], MATCH(Table_Controls_Input235[[#This Row],[Measure Lookup Detail]], Table_EffWindow_Savings[Lookup Detail], 0)),"" )</f>
        <v/>
      </c>
      <c r="O15" s="74" t="str">
        <f t="shared" si="0"/>
        <v/>
      </c>
      <c r="P15" s="74" t="str">
        <f>IF(Table_Controls_Input235[[#This Row],[Measure Number]]="", "", Table_Controls_Input235[[#This Row],[Total Equipment Cost]]+Table_Controls_Input235[[#This Row],[Total Labor Cost]])</f>
        <v/>
      </c>
      <c r="Q15" s="74" t="str">
        <f>IFERROR(Table_Controls_Input235[[#This Row],[Gross Measure Cost]]-Table_Controls_Input235[[#This Row],[Estimated Incentive]], "")</f>
        <v/>
      </c>
      <c r="R15" s="75" t="str">
        <f t="shared" si="1"/>
        <v/>
      </c>
      <c r="S15" s="115" t="str">
        <f>_xlfn.CONCAT(Table_Controls_Input235[[#This Row],[Window Replacement Measure]],Table_Controls_Input235[[#This Row],[Window Direction]])</f>
        <v/>
      </c>
      <c r="T15" s="3"/>
      <c r="U15" s="3"/>
      <c r="V15" s="3"/>
      <c r="W15" s="3"/>
      <c r="X15" s="3"/>
      <c r="Y15" s="3"/>
      <c r="Z15" s="3"/>
      <c r="AA15" s="3"/>
      <c r="AB15" s="3"/>
      <c r="AC15" s="3"/>
      <c r="AD15" s="3"/>
      <c r="AE15" s="3"/>
      <c r="AF15" s="3"/>
      <c r="AG15" s="3"/>
      <c r="AH15" s="3"/>
      <c r="AI15" s="3"/>
      <c r="AJ15" s="3"/>
      <c r="AK15" s="3"/>
      <c r="AL15" s="3"/>
      <c r="AM15" s="3"/>
      <c r="AN15" s="3"/>
    </row>
    <row r="16" spans="1:40" x14ac:dyDescent="0.2">
      <c r="A16" s="3"/>
      <c r="B16" s="71">
        <v>12</v>
      </c>
      <c r="C16" s="69" t="str">
        <f>IFERROR(INDEX(Table_EffWindow_Savings[Measure No], MATCH(Table_Controls_Input235[[#This Row],[Measure Lookup Detail]], Table_EffWindow_Savings[Lookup Detail], 0)), "")</f>
        <v/>
      </c>
      <c r="D16" s="61"/>
      <c r="E16" s="60"/>
      <c r="F16" s="69" t="str">
        <f>IFERROR(INDEX(Table_Prescript_Meas[Units], MATCH(Table_Controls_Input235[[#This Row],[Measure Number]], Table_Prescript_Meas[Measure Number], 0)), "")</f>
        <v/>
      </c>
      <c r="G16" s="49"/>
      <c r="H16" s="60"/>
      <c r="I16" s="73"/>
      <c r="J16" s="73"/>
      <c r="K16"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16" s="74" t="str">
        <f>IFERROR(Table_Controls_Input235[[#This Row],[Number of Units (Sq.Ft.)]]*Table_Controls_Input235[[#This Row],[Per-Unit Incentive]], "")</f>
        <v/>
      </c>
      <c r="M16" s="75" t="str">
        <f>IFERROR(Table_Controls_Input235[[#This Row],[Number of Units (Sq.Ft.)]]*INDEX(Table_EffWindow_Savings[Deemed kWh Savings], MATCH(Table_Controls_Input235[[#This Row],[Measure Lookup Detail]], Table_EffWindow_Savings[Lookup Detail], 0)),"" )</f>
        <v/>
      </c>
      <c r="N16" s="81" t="str">
        <f>IFERROR(Table_Controls_Input235[[#This Row],[Number of Units (Sq.Ft.)]]*INDEX(Table_EffWindow_Savings[Deemed kW Savings], MATCH(Table_Controls_Input235[[#This Row],[Measure Lookup Detail]], Table_EffWindow_Savings[Lookup Detail], 0)),"" )</f>
        <v/>
      </c>
      <c r="O16" s="74" t="str">
        <f t="shared" si="0"/>
        <v/>
      </c>
      <c r="P16" s="74" t="str">
        <f>IF(Table_Controls_Input235[[#This Row],[Measure Number]]="", "", Table_Controls_Input235[[#This Row],[Total Equipment Cost]]+Table_Controls_Input235[[#This Row],[Total Labor Cost]])</f>
        <v/>
      </c>
      <c r="Q16" s="74" t="str">
        <f>IFERROR(Table_Controls_Input235[[#This Row],[Gross Measure Cost]]-Table_Controls_Input235[[#This Row],[Estimated Incentive]], "")</f>
        <v/>
      </c>
      <c r="R16" s="75" t="str">
        <f t="shared" si="1"/>
        <v/>
      </c>
      <c r="S16" s="115" t="str">
        <f>_xlfn.CONCAT(Table_Controls_Input235[[#This Row],[Window Replacement Measure]],Table_Controls_Input235[[#This Row],[Window Direction]])</f>
        <v/>
      </c>
      <c r="T16" s="3"/>
      <c r="U16" s="3"/>
      <c r="V16" s="3"/>
      <c r="W16" s="3"/>
      <c r="X16" s="3"/>
      <c r="Y16" s="3"/>
      <c r="Z16" s="3"/>
      <c r="AA16" s="3"/>
      <c r="AB16" s="3"/>
      <c r="AC16" s="3"/>
      <c r="AD16" s="3"/>
      <c r="AE16" s="3"/>
      <c r="AF16" s="3"/>
      <c r="AG16" s="3"/>
      <c r="AH16" s="3"/>
      <c r="AI16" s="3"/>
      <c r="AJ16" s="3"/>
      <c r="AK16" s="3"/>
      <c r="AL16" s="3"/>
      <c r="AM16" s="3"/>
      <c r="AN16" s="3"/>
    </row>
    <row r="17" spans="1:40" x14ac:dyDescent="0.2">
      <c r="A17" s="3"/>
      <c r="B17" s="71">
        <v>13</v>
      </c>
      <c r="C17" s="69" t="str">
        <f>IFERROR(INDEX(Table_EffWindow_Savings[Measure No], MATCH(Table_Controls_Input235[[#This Row],[Measure Lookup Detail]], Table_EffWindow_Savings[Lookup Detail], 0)), "")</f>
        <v/>
      </c>
      <c r="D17" s="61"/>
      <c r="E17" s="60"/>
      <c r="F17" s="69" t="str">
        <f>IFERROR(INDEX(Table_Prescript_Meas[Units], MATCH(Table_Controls_Input235[[#This Row],[Measure Number]], Table_Prescript_Meas[Measure Number], 0)), "")</f>
        <v/>
      </c>
      <c r="G17" s="49"/>
      <c r="H17" s="60"/>
      <c r="I17" s="73"/>
      <c r="J17" s="73"/>
      <c r="K17"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17" s="74" t="str">
        <f>IFERROR(Table_Controls_Input235[[#This Row],[Number of Units (Sq.Ft.)]]*Table_Controls_Input235[[#This Row],[Per-Unit Incentive]], "")</f>
        <v/>
      </c>
      <c r="M17" s="75" t="str">
        <f>IFERROR(Table_Controls_Input235[[#This Row],[Number of Units (Sq.Ft.)]]*INDEX(Table_EffWindow_Savings[Deemed kWh Savings], MATCH(Table_Controls_Input235[[#This Row],[Measure Lookup Detail]], Table_EffWindow_Savings[Lookup Detail], 0)),"" )</f>
        <v/>
      </c>
      <c r="N17" s="81" t="str">
        <f>IFERROR(Table_Controls_Input235[[#This Row],[Number of Units (Sq.Ft.)]]*INDEX(Table_EffWindow_Savings[Deemed kW Savings], MATCH(Table_Controls_Input235[[#This Row],[Measure Lookup Detail]], Table_EffWindow_Savings[Lookup Detail], 0)),"" )</f>
        <v/>
      </c>
      <c r="O17" s="74" t="str">
        <f t="shared" si="0"/>
        <v/>
      </c>
      <c r="P17" s="74" t="str">
        <f>IF(Table_Controls_Input235[[#This Row],[Measure Number]]="", "", Table_Controls_Input235[[#This Row],[Total Equipment Cost]]+Table_Controls_Input235[[#This Row],[Total Labor Cost]])</f>
        <v/>
      </c>
      <c r="Q17" s="74" t="str">
        <f>IFERROR(Table_Controls_Input235[[#This Row],[Gross Measure Cost]]-Table_Controls_Input235[[#This Row],[Estimated Incentive]], "")</f>
        <v/>
      </c>
      <c r="R17" s="75" t="str">
        <f t="shared" si="1"/>
        <v/>
      </c>
      <c r="S17" s="115" t="str">
        <f>_xlfn.CONCAT(Table_Controls_Input235[[#This Row],[Window Replacement Measure]],Table_Controls_Input235[[#This Row],[Window Direction]])</f>
        <v/>
      </c>
      <c r="T17" s="3"/>
      <c r="U17" s="3"/>
      <c r="V17" s="3"/>
      <c r="W17" s="3"/>
      <c r="X17" s="3"/>
      <c r="Y17" s="3"/>
      <c r="Z17" s="3"/>
      <c r="AA17" s="3"/>
      <c r="AB17" s="3"/>
      <c r="AC17" s="3"/>
      <c r="AD17" s="3"/>
      <c r="AE17" s="3"/>
      <c r="AF17" s="3"/>
      <c r="AG17" s="3"/>
      <c r="AH17" s="3"/>
      <c r="AI17" s="3"/>
      <c r="AJ17" s="3"/>
      <c r="AK17" s="3"/>
      <c r="AL17" s="3"/>
      <c r="AM17" s="3"/>
      <c r="AN17" s="3"/>
    </row>
    <row r="18" spans="1:40" x14ac:dyDescent="0.2">
      <c r="A18" s="3"/>
      <c r="B18" s="71">
        <v>14</v>
      </c>
      <c r="C18" s="69" t="str">
        <f>IFERROR(INDEX(Table_EffWindow_Savings[Measure No], MATCH(Table_Controls_Input235[[#This Row],[Measure Lookup Detail]], Table_EffWindow_Savings[Lookup Detail], 0)), "")</f>
        <v/>
      </c>
      <c r="D18" s="61"/>
      <c r="E18" s="60"/>
      <c r="F18" s="69" t="str">
        <f>IFERROR(INDEX(Table_Prescript_Meas[Units], MATCH(Table_Controls_Input235[[#This Row],[Measure Number]], Table_Prescript_Meas[Measure Number], 0)), "")</f>
        <v/>
      </c>
      <c r="G18" s="49"/>
      <c r="H18" s="60"/>
      <c r="I18" s="73"/>
      <c r="J18" s="73"/>
      <c r="K18"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18" s="74" t="str">
        <f>IFERROR(Table_Controls_Input235[[#This Row],[Number of Units (Sq.Ft.)]]*Table_Controls_Input235[[#This Row],[Per-Unit Incentive]], "")</f>
        <v/>
      </c>
      <c r="M18" s="75" t="str">
        <f>IFERROR(Table_Controls_Input235[[#This Row],[Number of Units (Sq.Ft.)]]*INDEX(Table_EffWindow_Savings[Deemed kWh Savings], MATCH(Table_Controls_Input235[[#This Row],[Measure Lookup Detail]], Table_EffWindow_Savings[Lookup Detail], 0)),"" )</f>
        <v/>
      </c>
      <c r="N18" s="81" t="str">
        <f>IFERROR(Table_Controls_Input235[[#This Row],[Number of Units (Sq.Ft.)]]*INDEX(Table_EffWindow_Savings[Deemed kW Savings], MATCH(Table_Controls_Input235[[#This Row],[Measure Lookup Detail]], Table_EffWindow_Savings[Lookup Detail], 0)),"" )</f>
        <v/>
      </c>
      <c r="O18" s="74" t="str">
        <f t="shared" si="0"/>
        <v/>
      </c>
      <c r="P18" s="74" t="str">
        <f>IF(Table_Controls_Input235[[#This Row],[Measure Number]]="", "", Table_Controls_Input235[[#This Row],[Total Equipment Cost]]+Table_Controls_Input235[[#This Row],[Total Labor Cost]])</f>
        <v/>
      </c>
      <c r="Q18" s="74" t="str">
        <f>IFERROR(Table_Controls_Input235[[#This Row],[Gross Measure Cost]]-Table_Controls_Input235[[#This Row],[Estimated Incentive]], "")</f>
        <v/>
      </c>
      <c r="R18" s="75" t="str">
        <f t="shared" si="1"/>
        <v/>
      </c>
      <c r="S18" s="115" t="str">
        <f>_xlfn.CONCAT(Table_Controls_Input235[[#This Row],[Window Replacement Measure]],Table_Controls_Input235[[#This Row],[Window Direction]])</f>
        <v/>
      </c>
      <c r="T18" s="3"/>
      <c r="U18" s="3"/>
      <c r="V18" s="3"/>
      <c r="W18" s="3"/>
      <c r="X18" s="3"/>
      <c r="Y18" s="3"/>
      <c r="Z18" s="3"/>
      <c r="AA18" s="3"/>
      <c r="AB18" s="3"/>
      <c r="AC18" s="3"/>
      <c r="AD18" s="3"/>
      <c r="AE18" s="3"/>
      <c r="AF18" s="3"/>
      <c r="AG18" s="3"/>
      <c r="AH18" s="3"/>
      <c r="AI18" s="3"/>
      <c r="AJ18" s="3"/>
      <c r="AK18" s="3"/>
      <c r="AL18" s="3"/>
      <c r="AM18" s="3"/>
      <c r="AN18" s="3"/>
    </row>
    <row r="19" spans="1:40" ht="15" customHeight="1" x14ac:dyDescent="0.2">
      <c r="A19" s="3"/>
      <c r="B19" s="71">
        <v>15</v>
      </c>
      <c r="C19" s="69" t="str">
        <f>IFERROR(INDEX(Table_EffWindow_Savings[Measure No], MATCH(Table_Controls_Input235[[#This Row],[Measure Lookup Detail]], Table_EffWindow_Savings[Lookup Detail], 0)), "")</f>
        <v/>
      </c>
      <c r="D19" s="61"/>
      <c r="E19" s="60"/>
      <c r="F19" s="69" t="str">
        <f>IFERROR(INDEX(Table_Prescript_Meas[Units], MATCH(Table_Controls_Input235[[#This Row],[Measure Number]], Table_Prescript_Meas[Measure Number], 0)), "")</f>
        <v/>
      </c>
      <c r="G19" s="49"/>
      <c r="H19" s="60"/>
      <c r="I19" s="73"/>
      <c r="J19" s="73"/>
      <c r="K19"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19" s="74" t="str">
        <f>IFERROR(Table_Controls_Input235[[#This Row],[Number of Units (Sq.Ft.)]]*Table_Controls_Input235[[#This Row],[Per-Unit Incentive]], "")</f>
        <v/>
      </c>
      <c r="M19" s="75" t="str">
        <f>IFERROR(Table_Controls_Input235[[#This Row],[Number of Units (Sq.Ft.)]]*INDEX(Table_EffWindow_Savings[Deemed kWh Savings], MATCH(Table_Controls_Input235[[#This Row],[Measure Lookup Detail]], Table_EffWindow_Savings[Lookup Detail], 0)),"" )</f>
        <v/>
      </c>
      <c r="N19" s="81" t="str">
        <f>IFERROR(Table_Controls_Input235[[#This Row],[Number of Units (Sq.Ft.)]]*INDEX(Table_EffWindow_Savings[Deemed kW Savings], MATCH(Table_Controls_Input235[[#This Row],[Measure Lookup Detail]], Table_EffWindow_Savings[Lookup Detail], 0)),"" )</f>
        <v/>
      </c>
      <c r="O19" s="74" t="str">
        <f t="shared" si="0"/>
        <v/>
      </c>
      <c r="P19" s="74" t="str">
        <f>IF(Table_Controls_Input235[[#This Row],[Measure Number]]="", "", Table_Controls_Input235[[#This Row],[Total Equipment Cost]]+Table_Controls_Input235[[#This Row],[Total Labor Cost]])</f>
        <v/>
      </c>
      <c r="Q19" s="74" t="str">
        <f>IFERROR(Table_Controls_Input235[[#This Row],[Gross Measure Cost]]-Table_Controls_Input235[[#This Row],[Estimated Incentive]], "")</f>
        <v/>
      </c>
      <c r="R19" s="75" t="str">
        <f t="shared" si="1"/>
        <v/>
      </c>
      <c r="S19" s="115" t="str">
        <f>_xlfn.CONCAT(Table_Controls_Input235[[#This Row],[Window Replacement Measure]],Table_Controls_Input235[[#This Row],[Window Direction]])</f>
        <v/>
      </c>
      <c r="T19" s="3"/>
      <c r="U19" s="3"/>
      <c r="V19" s="3"/>
      <c r="W19" s="3"/>
      <c r="X19" s="3"/>
      <c r="Y19" s="3"/>
      <c r="Z19" s="3"/>
      <c r="AA19" s="3"/>
      <c r="AB19" s="3"/>
      <c r="AC19" s="3"/>
      <c r="AD19" s="3"/>
      <c r="AE19" s="3"/>
      <c r="AF19" s="3"/>
      <c r="AG19" s="3"/>
      <c r="AH19" s="3"/>
      <c r="AI19" s="3"/>
      <c r="AJ19" s="3"/>
      <c r="AK19" s="3"/>
      <c r="AL19" s="3"/>
      <c r="AM19" s="3"/>
      <c r="AN19" s="3"/>
    </row>
    <row r="20" spans="1:40" x14ac:dyDescent="0.2">
      <c r="A20" s="3"/>
      <c r="B20" s="71">
        <v>16</v>
      </c>
      <c r="C20" s="69" t="str">
        <f>IFERROR(INDEX(Table_EffWindow_Savings[Measure No], MATCH(Table_Controls_Input235[[#This Row],[Measure Lookup Detail]], Table_EffWindow_Savings[Lookup Detail], 0)), "")</f>
        <v/>
      </c>
      <c r="D20" s="61"/>
      <c r="E20" s="60"/>
      <c r="F20" s="69" t="str">
        <f>IFERROR(INDEX(Table_Prescript_Meas[Units], MATCH(Table_Controls_Input235[[#This Row],[Measure Number]], Table_Prescript_Meas[Measure Number], 0)), "")</f>
        <v/>
      </c>
      <c r="G20" s="49"/>
      <c r="H20" s="60"/>
      <c r="I20" s="73"/>
      <c r="J20" s="73"/>
      <c r="K20"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20" s="74" t="str">
        <f>IFERROR(Table_Controls_Input235[[#This Row],[Number of Units (Sq.Ft.)]]*Table_Controls_Input235[[#This Row],[Per-Unit Incentive]], "")</f>
        <v/>
      </c>
      <c r="M20" s="75" t="str">
        <f>IFERROR(Table_Controls_Input235[[#This Row],[Number of Units (Sq.Ft.)]]*INDEX(Table_EffWindow_Savings[Deemed kWh Savings], MATCH(Table_Controls_Input235[[#This Row],[Measure Lookup Detail]], Table_EffWindow_Savings[Lookup Detail], 0)),"" )</f>
        <v/>
      </c>
      <c r="N20" s="81" t="str">
        <f>IFERROR(Table_Controls_Input235[[#This Row],[Number of Units (Sq.Ft.)]]*INDEX(Table_EffWindow_Savings[Deemed kW Savings], MATCH(Table_Controls_Input235[[#This Row],[Measure Lookup Detail]], Table_EffWindow_Savings[Lookup Detail], 0)),"" )</f>
        <v/>
      </c>
      <c r="O20" s="74" t="str">
        <f t="shared" si="0"/>
        <v/>
      </c>
      <c r="P20" s="74" t="str">
        <f>IF(Table_Controls_Input235[[#This Row],[Measure Number]]="", "", Table_Controls_Input235[[#This Row],[Total Equipment Cost]]+Table_Controls_Input235[[#This Row],[Total Labor Cost]])</f>
        <v/>
      </c>
      <c r="Q20" s="74" t="str">
        <f>IFERROR(Table_Controls_Input235[[#This Row],[Gross Measure Cost]]-Table_Controls_Input235[[#This Row],[Estimated Incentive]], "")</f>
        <v/>
      </c>
      <c r="R20" s="75" t="str">
        <f t="shared" si="1"/>
        <v/>
      </c>
      <c r="S20" s="115" t="str">
        <f>_xlfn.CONCAT(Table_Controls_Input235[[#This Row],[Window Replacement Measure]],Table_Controls_Input235[[#This Row],[Window Direction]])</f>
        <v/>
      </c>
      <c r="T20" s="3"/>
      <c r="U20" s="3"/>
      <c r="V20" s="3"/>
      <c r="W20" s="3"/>
      <c r="X20" s="3"/>
      <c r="Y20" s="3"/>
      <c r="Z20" s="3"/>
      <c r="AA20" s="3"/>
      <c r="AB20" s="3"/>
      <c r="AC20" s="3"/>
      <c r="AD20" s="3"/>
      <c r="AE20" s="3"/>
      <c r="AF20" s="3"/>
      <c r="AG20" s="3"/>
      <c r="AH20" s="3"/>
      <c r="AI20" s="3"/>
      <c r="AJ20" s="3"/>
      <c r="AK20" s="3"/>
      <c r="AL20" s="3"/>
      <c r="AM20" s="3"/>
      <c r="AN20" s="3"/>
    </row>
    <row r="21" spans="1:40" x14ac:dyDescent="0.2">
      <c r="A21" s="3"/>
      <c r="B21" s="71">
        <v>17</v>
      </c>
      <c r="C21" s="69" t="str">
        <f>IFERROR(INDEX(Table_EffWindow_Savings[Measure No], MATCH(Table_Controls_Input235[[#This Row],[Measure Lookup Detail]], Table_EffWindow_Savings[Lookup Detail], 0)), "")</f>
        <v/>
      </c>
      <c r="D21" s="61"/>
      <c r="E21" s="60"/>
      <c r="F21" s="69" t="str">
        <f>IFERROR(INDEX(Table_Prescript_Meas[Units], MATCH(Table_Controls_Input235[[#This Row],[Measure Number]], Table_Prescript_Meas[Measure Number], 0)), "")</f>
        <v/>
      </c>
      <c r="G21" s="49"/>
      <c r="H21" s="60"/>
      <c r="I21" s="73"/>
      <c r="J21" s="73"/>
      <c r="K21"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21" s="74" t="str">
        <f>IFERROR(Table_Controls_Input235[[#This Row],[Number of Units (Sq.Ft.)]]*Table_Controls_Input235[[#This Row],[Per-Unit Incentive]], "")</f>
        <v/>
      </c>
      <c r="M21" s="75" t="str">
        <f>IFERROR(Table_Controls_Input235[[#This Row],[Number of Units (Sq.Ft.)]]*INDEX(Table_EffWindow_Savings[Deemed kWh Savings], MATCH(Table_Controls_Input235[[#This Row],[Measure Lookup Detail]], Table_EffWindow_Savings[Lookup Detail], 0)),"" )</f>
        <v/>
      </c>
      <c r="N21" s="81" t="str">
        <f>IFERROR(Table_Controls_Input235[[#This Row],[Number of Units (Sq.Ft.)]]*INDEX(Table_EffWindow_Savings[Deemed kW Savings], MATCH(Table_Controls_Input235[[#This Row],[Measure Lookup Detail]], Table_EffWindow_Savings[Lookup Detail], 0)),"" )</f>
        <v/>
      </c>
      <c r="O21" s="74" t="str">
        <f t="shared" si="0"/>
        <v/>
      </c>
      <c r="P21" s="74" t="str">
        <f>IF(Table_Controls_Input235[[#This Row],[Measure Number]]="", "", Table_Controls_Input235[[#This Row],[Total Equipment Cost]]+Table_Controls_Input235[[#This Row],[Total Labor Cost]])</f>
        <v/>
      </c>
      <c r="Q21" s="74" t="str">
        <f>IFERROR(Table_Controls_Input235[[#This Row],[Gross Measure Cost]]-Table_Controls_Input235[[#This Row],[Estimated Incentive]], "")</f>
        <v/>
      </c>
      <c r="R21" s="75" t="str">
        <f t="shared" si="1"/>
        <v/>
      </c>
      <c r="S21" s="115" t="str">
        <f>_xlfn.CONCAT(Table_Controls_Input235[[#This Row],[Window Replacement Measure]],Table_Controls_Input235[[#This Row],[Window Direction]])</f>
        <v/>
      </c>
      <c r="T21" s="3"/>
      <c r="U21" s="3"/>
      <c r="V21" s="3"/>
      <c r="W21" s="3"/>
      <c r="X21" s="3"/>
      <c r="Y21" s="3"/>
      <c r="Z21" s="3"/>
      <c r="AA21" s="3"/>
      <c r="AB21" s="3"/>
      <c r="AC21" s="3"/>
      <c r="AD21" s="3"/>
      <c r="AE21" s="3"/>
      <c r="AF21" s="3"/>
      <c r="AG21" s="3"/>
      <c r="AH21" s="3"/>
      <c r="AI21" s="3"/>
      <c r="AJ21" s="3"/>
      <c r="AK21" s="3"/>
      <c r="AL21" s="3"/>
      <c r="AM21" s="3"/>
      <c r="AN21" s="3"/>
    </row>
    <row r="22" spans="1:40" x14ac:dyDescent="0.2">
      <c r="A22" s="3"/>
      <c r="B22" s="71">
        <v>18</v>
      </c>
      <c r="C22" s="69" t="str">
        <f>IFERROR(INDEX(Table_EffWindow_Savings[Measure No], MATCH(Table_Controls_Input235[[#This Row],[Measure Lookup Detail]], Table_EffWindow_Savings[Lookup Detail], 0)), "")</f>
        <v/>
      </c>
      <c r="D22" s="61"/>
      <c r="E22" s="60"/>
      <c r="F22" s="69" t="str">
        <f>IFERROR(INDEX(Table_Prescript_Meas[Units], MATCH(Table_Controls_Input235[[#This Row],[Measure Number]], Table_Prescript_Meas[Measure Number], 0)), "")</f>
        <v/>
      </c>
      <c r="G22" s="49"/>
      <c r="H22" s="60"/>
      <c r="I22" s="73"/>
      <c r="J22" s="73"/>
      <c r="K22"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22" s="74" t="str">
        <f>IFERROR(Table_Controls_Input235[[#This Row],[Number of Units (Sq.Ft.)]]*Table_Controls_Input235[[#This Row],[Per-Unit Incentive]], "")</f>
        <v/>
      </c>
      <c r="M22" s="75" t="str">
        <f>IFERROR(Table_Controls_Input235[[#This Row],[Number of Units (Sq.Ft.)]]*INDEX(Table_EffWindow_Savings[Deemed kWh Savings], MATCH(Table_Controls_Input235[[#This Row],[Measure Lookup Detail]], Table_EffWindow_Savings[Lookup Detail], 0)),"" )</f>
        <v/>
      </c>
      <c r="N22" s="81" t="str">
        <f>IFERROR(Table_Controls_Input235[[#This Row],[Number of Units (Sq.Ft.)]]*INDEX(Table_EffWindow_Savings[Deemed kW Savings], MATCH(Table_Controls_Input235[[#This Row],[Measure Lookup Detail]], Table_EffWindow_Savings[Lookup Detail], 0)),"" )</f>
        <v/>
      </c>
      <c r="O22" s="74" t="str">
        <f t="shared" si="0"/>
        <v/>
      </c>
      <c r="P22" s="74" t="str">
        <f>IF(Table_Controls_Input235[[#This Row],[Measure Number]]="", "", Table_Controls_Input235[[#This Row],[Total Equipment Cost]]+Table_Controls_Input235[[#This Row],[Total Labor Cost]])</f>
        <v/>
      </c>
      <c r="Q22" s="74" t="str">
        <f>IFERROR(Table_Controls_Input235[[#This Row],[Gross Measure Cost]]-Table_Controls_Input235[[#This Row],[Estimated Incentive]], "")</f>
        <v/>
      </c>
      <c r="R22" s="75" t="str">
        <f t="shared" si="1"/>
        <v/>
      </c>
      <c r="S22" s="115" t="str">
        <f>_xlfn.CONCAT(Table_Controls_Input235[[#This Row],[Window Replacement Measure]],Table_Controls_Input235[[#This Row],[Window Direction]])</f>
        <v/>
      </c>
      <c r="T22" s="3"/>
      <c r="U22" s="3"/>
      <c r="V22" s="3"/>
      <c r="W22" s="3"/>
      <c r="X22" s="3"/>
      <c r="Y22" s="3"/>
      <c r="Z22" s="3"/>
      <c r="AA22" s="3"/>
      <c r="AB22" s="3"/>
      <c r="AC22" s="3"/>
      <c r="AD22" s="3"/>
      <c r="AE22" s="3"/>
      <c r="AF22" s="3"/>
      <c r="AG22" s="3"/>
      <c r="AH22" s="3"/>
      <c r="AI22" s="3"/>
      <c r="AJ22" s="3"/>
      <c r="AK22" s="3"/>
      <c r="AL22" s="3"/>
      <c r="AM22" s="3"/>
      <c r="AN22" s="3"/>
    </row>
    <row r="23" spans="1:40" x14ac:dyDescent="0.2">
      <c r="A23" s="3"/>
      <c r="B23" s="71">
        <v>19</v>
      </c>
      <c r="C23" s="69" t="str">
        <f>IFERROR(INDEX(Table_EffWindow_Savings[Measure No], MATCH(Table_Controls_Input235[[#This Row],[Measure Lookup Detail]], Table_EffWindow_Savings[Lookup Detail], 0)), "")</f>
        <v/>
      </c>
      <c r="D23" s="61"/>
      <c r="E23" s="60"/>
      <c r="F23" s="69" t="str">
        <f>IFERROR(INDEX(Table_Prescript_Meas[Units], MATCH(Table_Controls_Input235[[#This Row],[Measure Number]], Table_Prescript_Meas[Measure Number], 0)), "")</f>
        <v/>
      </c>
      <c r="G23" s="49"/>
      <c r="H23" s="60"/>
      <c r="I23" s="73"/>
      <c r="J23" s="73"/>
      <c r="K23"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23" s="74" t="str">
        <f>IFERROR(Table_Controls_Input235[[#This Row],[Number of Units (Sq.Ft.)]]*Table_Controls_Input235[[#This Row],[Per-Unit Incentive]], "")</f>
        <v/>
      </c>
      <c r="M23" s="75" t="str">
        <f>IFERROR(Table_Controls_Input235[[#This Row],[Number of Units (Sq.Ft.)]]*INDEX(Table_EffWindow_Savings[Deemed kWh Savings], MATCH(Table_Controls_Input235[[#This Row],[Measure Lookup Detail]], Table_EffWindow_Savings[Lookup Detail], 0)),"" )</f>
        <v/>
      </c>
      <c r="N23" s="81" t="str">
        <f>IFERROR(Table_Controls_Input235[[#This Row],[Number of Units (Sq.Ft.)]]*INDEX(Table_EffWindow_Savings[Deemed kW Savings], MATCH(Table_Controls_Input235[[#This Row],[Measure Lookup Detail]], Table_EffWindow_Savings[Lookup Detail], 0)),"" )</f>
        <v/>
      </c>
      <c r="O23" s="74" t="str">
        <f t="shared" si="0"/>
        <v/>
      </c>
      <c r="P23" s="74" t="str">
        <f>IF(Table_Controls_Input235[[#This Row],[Measure Number]]="", "", Table_Controls_Input235[[#This Row],[Total Equipment Cost]]+Table_Controls_Input235[[#This Row],[Total Labor Cost]])</f>
        <v/>
      </c>
      <c r="Q23" s="74" t="str">
        <f>IFERROR(Table_Controls_Input235[[#This Row],[Gross Measure Cost]]-Table_Controls_Input235[[#This Row],[Estimated Incentive]], "")</f>
        <v/>
      </c>
      <c r="R23" s="75" t="str">
        <f t="shared" si="1"/>
        <v/>
      </c>
      <c r="S23" s="115" t="str">
        <f>_xlfn.CONCAT(Table_Controls_Input235[[#This Row],[Window Replacement Measure]],Table_Controls_Input235[[#This Row],[Window Direction]])</f>
        <v/>
      </c>
      <c r="T23" s="3"/>
      <c r="U23" s="3"/>
      <c r="V23" s="3"/>
      <c r="W23" s="3"/>
      <c r="X23" s="3"/>
      <c r="Y23" s="3"/>
      <c r="Z23" s="3"/>
      <c r="AA23" s="3"/>
      <c r="AB23" s="3"/>
      <c r="AC23" s="3"/>
      <c r="AD23" s="3"/>
      <c r="AE23" s="3"/>
      <c r="AF23" s="3"/>
      <c r="AG23" s="3"/>
      <c r="AH23" s="3"/>
      <c r="AI23" s="3"/>
      <c r="AJ23" s="3"/>
      <c r="AK23" s="3"/>
      <c r="AL23" s="3"/>
      <c r="AM23" s="3"/>
      <c r="AN23" s="3"/>
    </row>
    <row r="24" spans="1:40" x14ac:dyDescent="0.2">
      <c r="A24" s="3"/>
      <c r="B24" s="71">
        <v>20</v>
      </c>
      <c r="C24" s="69" t="str">
        <f>IFERROR(INDEX(Table_EffWindow_Savings[Measure No], MATCH(Table_Controls_Input235[[#This Row],[Measure Lookup Detail]], Table_EffWindow_Savings[Lookup Detail], 0)), "")</f>
        <v/>
      </c>
      <c r="D24" s="61"/>
      <c r="E24" s="60"/>
      <c r="F24" s="69" t="str">
        <f>IFERROR(INDEX(Table_Prescript_Meas[Units], MATCH(Table_Controls_Input235[[#This Row],[Measure Number]], Table_Prescript_Meas[Measure Number], 0)), "")</f>
        <v/>
      </c>
      <c r="G24" s="49"/>
      <c r="H24" s="60"/>
      <c r="I24" s="73"/>
      <c r="J24" s="73"/>
      <c r="K24"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24" s="74" t="str">
        <f>IFERROR(Table_Controls_Input235[[#This Row],[Number of Units (Sq.Ft.)]]*Table_Controls_Input235[[#This Row],[Per-Unit Incentive]], "")</f>
        <v/>
      </c>
      <c r="M24" s="75" t="str">
        <f>IFERROR(Table_Controls_Input235[[#This Row],[Number of Units (Sq.Ft.)]]*INDEX(Table_EffWindow_Savings[Deemed kWh Savings], MATCH(Table_Controls_Input235[[#This Row],[Measure Lookup Detail]], Table_EffWindow_Savings[Lookup Detail], 0)),"" )</f>
        <v/>
      </c>
      <c r="N24" s="81" t="str">
        <f>IFERROR(Table_Controls_Input235[[#This Row],[Number of Units (Sq.Ft.)]]*INDEX(Table_EffWindow_Savings[Deemed kW Savings], MATCH(Table_Controls_Input235[[#This Row],[Measure Lookup Detail]], Table_EffWindow_Savings[Lookup Detail], 0)),"" )</f>
        <v/>
      </c>
      <c r="O24" s="74" t="str">
        <f t="shared" si="0"/>
        <v/>
      </c>
      <c r="P24" s="74" t="str">
        <f>IF(Table_Controls_Input235[[#This Row],[Measure Number]]="", "", Table_Controls_Input235[[#This Row],[Total Equipment Cost]]+Table_Controls_Input235[[#This Row],[Total Labor Cost]])</f>
        <v/>
      </c>
      <c r="Q24" s="74" t="str">
        <f>IFERROR(Table_Controls_Input235[[#This Row],[Gross Measure Cost]]-Table_Controls_Input235[[#This Row],[Estimated Incentive]], "")</f>
        <v/>
      </c>
      <c r="R24" s="75" t="str">
        <f t="shared" si="1"/>
        <v/>
      </c>
      <c r="S24" s="115" t="str">
        <f>_xlfn.CONCAT(Table_Controls_Input235[[#This Row],[Window Replacement Measure]],Table_Controls_Input235[[#This Row],[Window Direction]])</f>
        <v/>
      </c>
      <c r="T24" s="3"/>
      <c r="U24" s="3"/>
      <c r="V24" s="3"/>
      <c r="W24" s="3"/>
      <c r="X24" s="3"/>
      <c r="Y24" s="3"/>
      <c r="Z24" s="3"/>
      <c r="AA24" s="3"/>
      <c r="AB24" s="3"/>
      <c r="AC24" s="3"/>
      <c r="AD24" s="3"/>
      <c r="AE24" s="3"/>
      <c r="AF24" s="3"/>
      <c r="AG24" s="3"/>
      <c r="AH24" s="3"/>
      <c r="AI24" s="3"/>
      <c r="AJ24" s="3"/>
      <c r="AK24" s="3"/>
      <c r="AL24" s="3"/>
      <c r="AM24" s="3"/>
      <c r="AN24" s="3"/>
    </row>
    <row r="25" spans="1:40" x14ac:dyDescent="0.2">
      <c r="A25" s="3"/>
      <c r="B25" s="71">
        <v>21</v>
      </c>
      <c r="C25" s="69" t="str">
        <f>IFERROR(INDEX(Table_EffWindow_Savings[Measure No], MATCH(Table_Controls_Input235[[#This Row],[Measure Lookup Detail]], Table_EffWindow_Savings[Lookup Detail], 0)), "")</f>
        <v/>
      </c>
      <c r="D25" s="61"/>
      <c r="E25" s="60"/>
      <c r="F25" s="69" t="str">
        <f>IFERROR(INDEX(Table_Prescript_Meas[Units], MATCH(Table_Controls_Input235[[#This Row],[Measure Number]], Table_Prescript_Meas[Measure Number], 0)), "")</f>
        <v/>
      </c>
      <c r="G25" s="49"/>
      <c r="H25" s="60"/>
      <c r="I25" s="73"/>
      <c r="J25" s="73"/>
      <c r="K25"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25" s="74" t="str">
        <f>IFERROR(Table_Controls_Input235[[#This Row],[Number of Units (Sq.Ft.)]]*Table_Controls_Input235[[#This Row],[Per-Unit Incentive]], "")</f>
        <v/>
      </c>
      <c r="M25" s="75" t="str">
        <f>IFERROR(Table_Controls_Input235[[#This Row],[Number of Units (Sq.Ft.)]]*INDEX(Table_EffWindow_Savings[Deemed kWh Savings], MATCH(Table_Controls_Input235[[#This Row],[Measure Lookup Detail]], Table_EffWindow_Savings[Lookup Detail], 0)),"" )</f>
        <v/>
      </c>
      <c r="N25" s="81" t="str">
        <f>IFERROR(Table_Controls_Input235[[#This Row],[Number of Units (Sq.Ft.)]]*INDEX(Table_EffWindow_Savings[Deemed kW Savings], MATCH(Table_Controls_Input235[[#This Row],[Measure Lookup Detail]], Table_EffWindow_Savings[Lookup Detail], 0)),"" )</f>
        <v/>
      </c>
      <c r="O25" s="74" t="str">
        <f t="shared" si="0"/>
        <v/>
      </c>
      <c r="P25" s="74" t="str">
        <f>IF(Table_Controls_Input235[[#This Row],[Measure Number]]="", "", Table_Controls_Input235[[#This Row],[Total Equipment Cost]]+Table_Controls_Input235[[#This Row],[Total Labor Cost]])</f>
        <v/>
      </c>
      <c r="Q25" s="74" t="str">
        <f>IFERROR(Table_Controls_Input235[[#This Row],[Gross Measure Cost]]-Table_Controls_Input235[[#This Row],[Estimated Incentive]], "")</f>
        <v/>
      </c>
      <c r="R25" s="75" t="str">
        <f t="shared" si="1"/>
        <v/>
      </c>
      <c r="S25" s="115" t="str">
        <f>_xlfn.CONCAT(Table_Controls_Input235[[#This Row],[Window Replacement Measure]],Table_Controls_Input235[[#This Row],[Window Direction]])</f>
        <v/>
      </c>
      <c r="T25" s="3"/>
      <c r="U25" s="3"/>
      <c r="V25" s="3"/>
      <c r="W25" s="3"/>
      <c r="X25" s="3"/>
      <c r="Y25" s="3"/>
      <c r="Z25" s="3"/>
      <c r="AA25" s="3"/>
      <c r="AB25" s="3"/>
      <c r="AC25" s="3"/>
      <c r="AD25" s="3"/>
      <c r="AE25" s="3"/>
      <c r="AF25" s="3"/>
      <c r="AG25" s="3"/>
      <c r="AH25" s="3"/>
      <c r="AI25" s="3"/>
      <c r="AJ25" s="3"/>
      <c r="AK25" s="3"/>
      <c r="AL25" s="3"/>
      <c r="AM25" s="3"/>
      <c r="AN25" s="3"/>
    </row>
    <row r="26" spans="1:40" x14ac:dyDescent="0.2">
      <c r="A26" s="3"/>
      <c r="B26" s="71">
        <v>22</v>
      </c>
      <c r="C26" s="69" t="str">
        <f>IFERROR(INDEX(Table_EffWindow_Savings[Measure No], MATCH(Table_Controls_Input235[[#This Row],[Measure Lookup Detail]], Table_EffWindow_Savings[Lookup Detail], 0)), "")</f>
        <v/>
      </c>
      <c r="D26" s="61"/>
      <c r="E26" s="60"/>
      <c r="F26" s="69" t="str">
        <f>IFERROR(INDEX(Table_Prescript_Meas[Units], MATCH(Table_Controls_Input235[[#This Row],[Measure Number]], Table_Prescript_Meas[Measure Number], 0)), "")</f>
        <v/>
      </c>
      <c r="G26" s="49"/>
      <c r="H26" s="60"/>
      <c r="I26" s="73"/>
      <c r="J26" s="73"/>
      <c r="K26"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26" s="74" t="str">
        <f>IFERROR(Table_Controls_Input235[[#This Row],[Number of Units (Sq.Ft.)]]*Table_Controls_Input235[[#This Row],[Per-Unit Incentive]], "")</f>
        <v/>
      </c>
      <c r="M26" s="75" t="str">
        <f>IFERROR(Table_Controls_Input235[[#This Row],[Number of Units (Sq.Ft.)]]*INDEX(Table_EffWindow_Savings[Deemed kWh Savings], MATCH(Table_Controls_Input235[[#This Row],[Measure Lookup Detail]], Table_EffWindow_Savings[Lookup Detail], 0)),"" )</f>
        <v/>
      </c>
      <c r="N26" s="81" t="str">
        <f>IFERROR(Table_Controls_Input235[[#This Row],[Number of Units (Sq.Ft.)]]*INDEX(Table_EffWindow_Savings[Deemed kW Savings], MATCH(Table_Controls_Input235[[#This Row],[Measure Lookup Detail]], Table_EffWindow_Savings[Lookup Detail], 0)),"" )</f>
        <v/>
      </c>
      <c r="O26" s="74" t="str">
        <f t="shared" si="0"/>
        <v/>
      </c>
      <c r="P26" s="74" t="str">
        <f>IF(Table_Controls_Input235[[#This Row],[Measure Number]]="", "", Table_Controls_Input235[[#This Row],[Total Equipment Cost]]+Table_Controls_Input235[[#This Row],[Total Labor Cost]])</f>
        <v/>
      </c>
      <c r="Q26" s="74" t="str">
        <f>IFERROR(Table_Controls_Input235[[#This Row],[Gross Measure Cost]]-Table_Controls_Input235[[#This Row],[Estimated Incentive]], "")</f>
        <v/>
      </c>
      <c r="R26" s="75" t="str">
        <f t="shared" si="1"/>
        <v/>
      </c>
      <c r="S26" s="115" t="str">
        <f>_xlfn.CONCAT(Table_Controls_Input235[[#This Row],[Window Replacement Measure]],Table_Controls_Input235[[#This Row],[Window Direction]])</f>
        <v/>
      </c>
      <c r="T26" s="3"/>
      <c r="U26" s="3"/>
      <c r="V26" s="3"/>
      <c r="W26" s="3"/>
      <c r="X26" s="3"/>
      <c r="Y26" s="3"/>
      <c r="Z26" s="3"/>
      <c r="AA26" s="3"/>
      <c r="AB26" s="3"/>
      <c r="AC26" s="3"/>
      <c r="AD26" s="3"/>
      <c r="AE26" s="3"/>
      <c r="AF26" s="3"/>
      <c r="AG26" s="3"/>
      <c r="AH26" s="3"/>
      <c r="AI26" s="3"/>
      <c r="AJ26" s="3"/>
      <c r="AK26" s="3"/>
      <c r="AL26" s="3"/>
      <c r="AM26" s="3"/>
      <c r="AN26" s="3"/>
    </row>
    <row r="27" spans="1:40" x14ac:dyDescent="0.2">
      <c r="A27" s="3"/>
      <c r="B27" s="71">
        <v>23</v>
      </c>
      <c r="C27" s="69" t="str">
        <f>IFERROR(INDEX(Table_EffWindow_Savings[Measure No], MATCH(Table_Controls_Input235[[#This Row],[Measure Lookup Detail]], Table_EffWindow_Savings[Lookup Detail], 0)), "")</f>
        <v/>
      </c>
      <c r="D27" s="61"/>
      <c r="E27" s="60"/>
      <c r="F27" s="69" t="str">
        <f>IFERROR(INDEX(Table_Prescript_Meas[Units], MATCH(Table_Controls_Input235[[#This Row],[Measure Number]], Table_Prescript_Meas[Measure Number], 0)), "")</f>
        <v/>
      </c>
      <c r="G27" s="49"/>
      <c r="H27" s="60"/>
      <c r="I27" s="73"/>
      <c r="J27" s="73"/>
      <c r="K27"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27" s="74" t="str">
        <f>IFERROR(Table_Controls_Input235[[#This Row],[Number of Units (Sq.Ft.)]]*Table_Controls_Input235[[#This Row],[Per-Unit Incentive]], "")</f>
        <v/>
      </c>
      <c r="M27" s="75" t="str">
        <f>IFERROR(Table_Controls_Input235[[#This Row],[Number of Units (Sq.Ft.)]]*INDEX(Table_EffWindow_Savings[Deemed kWh Savings], MATCH(Table_Controls_Input235[[#This Row],[Measure Lookup Detail]], Table_EffWindow_Savings[Lookup Detail], 0)),"" )</f>
        <v/>
      </c>
      <c r="N27" s="81" t="str">
        <f>IFERROR(Table_Controls_Input235[[#This Row],[Number of Units (Sq.Ft.)]]*INDEX(Table_EffWindow_Savings[Deemed kW Savings], MATCH(Table_Controls_Input235[[#This Row],[Measure Lookup Detail]], Table_EffWindow_Savings[Lookup Detail], 0)),"" )</f>
        <v/>
      </c>
      <c r="O27" s="74" t="str">
        <f t="shared" si="0"/>
        <v/>
      </c>
      <c r="P27" s="74" t="str">
        <f>IF(Table_Controls_Input235[[#This Row],[Measure Number]]="", "", Table_Controls_Input235[[#This Row],[Total Equipment Cost]]+Table_Controls_Input235[[#This Row],[Total Labor Cost]])</f>
        <v/>
      </c>
      <c r="Q27" s="74" t="str">
        <f>IFERROR(Table_Controls_Input235[[#This Row],[Gross Measure Cost]]-Table_Controls_Input235[[#This Row],[Estimated Incentive]], "")</f>
        <v/>
      </c>
      <c r="R27" s="75" t="str">
        <f t="shared" si="1"/>
        <v/>
      </c>
      <c r="S27" s="115" t="str">
        <f>_xlfn.CONCAT(Table_Controls_Input235[[#This Row],[Window Replacement Measure]],Table_Controls_Input235[[#This Row],[Window Direction]])</f>
        <v/>
      </c>
      <c r="T27" s="3"/>
      <c r="U27" s="3"/>
      <c r="V27" s="3"/>
      <c r="W27" s="3"/>
      <c r="X27" s="3"/>
      <c r="Y27" s="3"/>
      <c r="Z27" s="3"/>
      <c r="AA27" s="3"/>
      <c r="AB27" s="3"/>
      <c r="AC27" s="3"/>
      <c r="AD27" s="3"/>
      <c r="AE27" s="3"/>
      <c r="AF27" s="3"/>
      <c r="AG27" s="3"/>
      <c r="AH27" s="3"/>
      <c r="AI27" s="3"/>
      <c r="AJ27" s="3"/>
      <c r="AK27" s="3"/>
      <c r="AL27" s="3"/>
      <c r="AM27" s="3"/>
      <c r="AN27" s="3"/>
    </row>
    <row r="28" spans="1:40" x14ac:dyDescent="0.2">
      <c r="A28" s="3"/>
      <c r="B28" s="71">
        <v>24</v>
      </c>
      <c r="C28" s="69" t="str">
        <f>IFERROR(INDEX(Table_EffWindow_Savings[Measure No], MATCH(Table_Controls_Input235[[#This Row],[Measure Lookup Detail]], Table_EffWindow_Savings[Lookup Detail], 0)), "")</f>
        <v/>
      </c>
      <c r="D28" s="61"/>
      <c r="E28" s="60"/>
      <c r="F28" s="69" t="str">
        <f>IFERROR(INDEX(Table_Prescript_Meas[Units], MATCH(Table_Controls_Input235[[#This Row],[Measure Number]], Table_Prescript_Meas[Measure Number], 0)), "")</f>
        <v/>
      </c>
      <c r="G28" s="49"/>
      <c r="H28" s="60"/>
      <c r="I28" s="73"/>
      <c r="J28" s="73"/>
      <c r="K28"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28" s="74" t="str">
        <f>IFERROR(Table_Controls_Input235[[#This Row],[Number of Units (Sq.Ft.)]]*Table_Controls_Input235[[#This Row],[Per-Unit Incentive]], "")</f>
        <v/>
      </c>
      <c r="M28" s="75" t="str">
        <f>IFERROR(Table_Controls_Input235[[#This Row],[Number of Units (Sq.Ft.)]]*INDEX(Table_EffWindow_Savings[Deemed kWh Savings], MATCH(Table_Controls_Input235[[#This Row],[Measure Lookup Detail]], Table_EffWindow_Savings[Lookup Detail], 0)),"" )</f>
        <v/>
      </c>
      <c r="N28" s="81" t="str">
        <f>IFERROR(Table_Controls_Input235[[#This Row],[Number of Units (Sq.Ft.)]]*INDEX(Table_EffWindow_Savings[Deemed kW Savings], MATCH(Table_Controls_Input235[[#This Row],[Measure Lookup Detail]], Table_EffWindow_Savings[Lookup Detail], 0)),"" )</f>
        <v/>
      </c>
      <c r="O28" s="74" t="str">
        <f t="shared" si="0"/>
        <v/>
      </c>
      <c r="P28" s="74" t="str">
        <f>IF(Table_Controls_Input235[[#This Row],[Measure Number]]="", "", Table_Controls_Input235[[#This Row],[Total Equipment Cost]]+Table_Controls_Input235[[#This Row],[Total Labor Cost]])</f>
        <v/>
      </c>
      <c r="Q28" s="74" t="str">
        <f>IFERROR(Table_Controls_Input235[[#This Row],[Gross Measure Cost]]-Table_Controls_Input235[[#This Row],[Estimated Incentive]], "")</f>
        <v/>
      </c>
      <c r="R28" s="75" t="str">
        <f t="shared" si="1"/>
        <v/>
      </c>
      <c r="S28" s="115" t="str">
        <f>_xlfn.CONCAT(Table_Controls_Input235[[#This Row],[Window Replacement Measure]],Table_Controls_Input235[[#This Row],[Window Direction]])</f>
        <v/>
      </c>
      <c r="T28" s="3"/>
      <c r="U28" s="3"/>
      <c r="V28" s="3"/>
      <c r="W28" s="3"/>
      <c r="X28" s="3"/>
      <c r="Y28" s="3"/>
      <c r="Z28" s="3"/>
      <c r="AA28" s="3"/>
      <c r="AB28" s="3"/>
      <c r="AC28" s="3"/>
      <c r="AD28" s="3"/>
      <c r="AE28" s="3"/>
      <c r="AF28" s="3"/>
      <c r="AG28" s="3"/>
      <c r="AH28" s="3"/>
      <c r="AI28" s="3"/>
      <c r="AJ28" s="3"/>
      <c r="AK28" s="3"/>
      <c r="AL28" s="3"/>
      <c r="AM28" s="3"/>
      <c r="AN28" s="3"/>
    </row>
    <row r="29" spans="1:40" x14ac:dyDescent="0.2">
      <c r="A29" s="3"/>
      <c r="B29" s="71">
        <v>25</v>
      </c>
      <c r="C29" s="69" t="str">
        <f>IFERROR(INDEX(Table_EffWindow_Savings[Measure No], MATCH(Table_Controls_Input235[[#This Row],[Measure Lookup Detail]], Table_EffWindow_Savings[Lookup Detail], 0)), "")</f>
        <v/>
      </c>
      <c r="D29" s="61"/>
      <c r="E29" s="60"/>
      <c r="F29" s="69" t="str">
        <f>IFERROR(INDEX(Table_Prescript_Meas[Units], MATCH(Table_Controls_Input235[[#This Row],[Measure Number]], Table_Prescript_Meas[Measure Number], 0)), "")</f>
        <v/>
      </c>
      <c r="G29" s="49"/>
      <c r="H29" s="60"/>
      <c r="I29" s="73"/>
      <c r="J29" s="73"/>
      <c r="K29"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29" s="74" t="str">
        <f>IFERROR(Table_Controls_Input235[[#This Row],[Number of Units (Sq.Ft.)]]*Table_Controls_Input235[[#This Row],[Per-Unit Incentive]], "")</f>
        <v/>
      </c>
      <c r="M29" s="75" t="str">
        <f>IFERROR(Table_Controls_Input235[[#This Row],[Number of Units (Sq.Ft.)]]*INDEX(Table_EffWindow_Savings[Deemed kWh Savings], MATCH(Table_Controls_Input235[[#This Row],[Measure Lookup Detail]], Table_EffWindow_Savings[Lookup Detail], 0)),"" )</f>
        <v/>
      </c>
      <c r="N29" s="81" t="str">
        <f>IFERROR(Table_Controls_Input235[[#This Row],[Number of Units (Sq.Ft.)]]*INDEX(Table_EffWindow_Savings[Deemed kW Savings], MATCH(Table_Controls_Input235[[#This Row],[Measure Lookup Detail]], Table_EffWindow_Savings[Lookup Detail], 0)),"" )</f>
        <v/>
      </c>
      <c r="O29" s="74" t="str">
        <f t="shared" si="0"/>
        <v/>
      </c>
      <c r="P29" s="74" t="str">
        <f>IF(Table_Controls_Input235[[#This Row],[Measure Number]]="", "", Table_Controls_Input235[[#This Row],[Total Equipment Cost]]+Table_Controls_Input235[[#This Row],[Total Labor Cost]])</f>
        <v/>
      </c>
      <c r="Q29" s="74" t="str">
        <f>IFERROR(Table_Controls_Input235[[#This Row],[Gross Measure Cost]]-Table_Controls_Input235[[#This Row],[Estimated Incentive]], "")</f>
        <v/>
      </c>
      <c r="R29" s="75" t="str">
        <f t="shared" si="1"/>
        <v/>
      </c>
      <c r="S29" s="115" t="str">
        <f>_xlfn.CONCAT(Table_Controls_Input235[[#This Row],[Window Replacement Measure]],Table_Controls_Input235[[#This Row],[Window Direction]])</f>
        <v/>
      </c>
      <c r="T29" s="3"/>
      <c r="U29" s="3"/>
      <c r="V29" s="3"/>
      <c r="W29" s="3"/>
      <c r="X29" s="3"/>
      <c r="Y29" s="3"/>
      <c r="Z29" s="3"/>
      <c r="AA29" s="3"/>
      <c r="AB29" s="3"/>
      <c r="AC29" s="3"/>
      <c r="AD29" s="3"/>
      <c r="AE29" s="3"/>
      <c r="AF29" s="3"/>
      <c r="AG29" s="3"/>
      <c r="AH29" s="3"/>
      <c r="AI29" s="3"/>
      <c r="AJ29" s="3"/>
      <c r="AK29" s="3"/>
      <c r="AL29" s="3"/>
      <c r="AM29" s="3"/>
      <c r="AN29" s="3"/>
    </row>
    <row r="30" spans="1:40" x14ac:dyDescent="0.2">
      <c r="A30" s="3"/>
      <c r="B30" s="71">
        <v>26</v>
      </c>
      <c r="C30" s="69" t="str">
        <f>IFERROR(INDEX(Table_EffWindow_Savings[Measure No], MATCH(Table_Controls_Input235[[#This Row],[Measure Lookup Detail]], Table_EffWindow_Savings[Lookup Detail], 0)), "")</f>
        <v/>
      </c>
      <c r="D30" s="61"/>
      <c r="E30" s="60"/>
      <c r="F30" s="69" t="str">
        <f>IFERROR(INDEX(Table_Prescript_Meas[Units], MATCH(Table_Controls_Input235[[#This Row],[Measure Number]], Table_Prescript_Meas[Measure Number], 0)), "")</f>
        <v/>
      </c>
      <c r="G30" s="49"/>
      <c r="H30" s="60"/>
      <c r="I30" s="73"/>
      <c r="J30" s="73"/>
      <c r="K30"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30" s="74" t="str">
        <f>IFERROR(Table_Controls_Input235[[#This Row],[Number of Units (Sq.Ft.)]]*Table_Controls_Input235[[#This Row],[Per-Unit Incentive]], "")</f>
        <v/>
      </c>
      <c r="M30" s="75" t="str">
        <f>IFERROR(Table_Controls_Input235[[#This Row],[Number of Units (Sq.Ft.)]]*INDEX(Table_EffWindow_Savings[Deemed kWh Savings], MATCH(Table_Controls_Input235[[#This Row],[Measure Lookup Detail]], Table_EffWindow_Savings[Lookup Detail], 0)),"" )</f>
        <v/>
      </c>
      <c r="N30" s="81" t="str">
        <f>IFERROR(Table_Controls_Input235[[#This Row],[Number of Units (Sq.Ft.)]]*INDEX(Table_EffWindow_Savings[Deemed kW Savings], MATCH(Table_Controls_Input235[[#This Row],[Measure Lookup Detail]], Table_EffWindow_Savings[Lookup Detail], 0)),"" )</f>
        <v/>
      </c>
      <c r="O30" s="74" t="str">
        <f t="shared" si="0"/>
        <v/>
      </c>
      <c r="P30" s="74" t="str">
        <f>IF(Table_Controls_Input235[[#This Row],[Measure Number]]="", "", Table_Controls_Input235[[#This Row],[Total Equipment Cost]]+Table_Controls_Input235[[#This Row],[Total Labor Cost]])</f>
        <v/>
      </c>
      <c r="Q30" s="74" t="str">
        <f>IFERROR(Table_Controls_Input235[[#This Row],[Gross Measure Cost]]-Table_Controls_Input235[[#This Row],[Estimated Incentive]], "")</f>
        <v/>
      </c>
      <c r="R30" s="75" t="str">
        <f t="shared" si="1"/>
        <v/>
      </c>
      <c r="S30" s="115" t="str">
        <f>_xlfn.CONCAT(Table_Controls_Input235[[#This Row],[Window Replacement Measure]],Table_Controls_Input235[[#This Row],[Window Direction]])</f>
        <v/>
      </c>
      <c r="T30" s="3"/>
      <c r="U30" s="3"/>
      <c r="V30" s="3"/>
      <c r="W30" s="3"/>
      <c r="X30" s="3"/>
      <c r="Y30" s="3"/>
      <c r="Z30" s="3"/>
      <c r="AA30" s="3"/>
      <c r="AB30" s="3"/>
      <c r="AC30" s="3"/>
      <c r="AD30" s="3"/>
      <c r="AE30" s="3"/>
      <c r="AF30" s="3"/>
      <c r="AG30" s="3"/>
      <c r="AH30" s="3"/>
      <c r="AI30" s="3"/>
      <c r="AJ30" s="3"/>
      <c r="AK30" s="3"/>
      <c r="AL30" s="3"/>
      <c r="AM30" s="3"/>
      <c r="AN30" s="3"/>
    </row>
    <row r="31" spans="1:40" x14ac:dyDescent="0.2">
      <c r="A31" s="4"/>
      <c r="B31" s="71">
        <v>27</v>
      </c>
      <c r="C31" s="69" t="str">
        <f>IFERROR(INDEX(Table_EffWindow_Savings[Measure No], MATCH(Table_Controls_Input235[[#This Row],[Measure Lookup Detail]], Table_EffWindow_Savings[Lookup Detail], 0)), "")</f>
        <v/>
      </c>
      <c r="D31" s="61"/>
      <c r="E31" s="60"/>
      <c r="F31" s="69" t="str">
        <f>IFERROR(INDEX(Table_Prescript_Meas[Units], MATCH(Table_Controls_Input235[[#This Row],[Measure Number]], Table_Prescript_Meas[Measure Number], 0)), "")</f>
        <v/>
      </c>
      <c r="G31" s="49"/>
      <c r="H31" s="60"/>
      <c r="I31" s="73"/>
      <c r="J31" s="73"/>
      <c r="K31"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31" s="74" t="str">
        <f>IFERROR(Table_Controls_Input235[[#This Row],[Number of Units (Sq.Ft.)]]*Table_Controls_Input235[[#This Row],[Per-Unit Incentive]], "")</f>
        <v/>
      </c>
      <c r="M31" s="75" t="str">
        <f>IFERROR(Table_Controls_Input235[[#This Row],[Number of Units (Sq.Ft.)]]*INDEX(Table_EffWindow_Savings[Deemed kWh Savings], MATCH(Table_Controls_Input235[[#This Row],[Measure Lookup Detail]], Table_EffWindow_Savings[Lookup Detail], 0)),"" )</f>
        <v/>
      </c>
      <c r="N31" s="81" t="str">
        <f>IFERROR(Table_Controls_Input235[[#This Row],[Number of Units (Sq.Ft.)]]*INDEX(Table_EffWindow_Savings[Deemed kW Savings], MATCH(Table_Controls_Input235[[#This Row],[Measure Lookup Detail]], Table_EffWindow_Savings[Lookup Detail], 0)),"" )</f>
        <v/>
      </c>
      <c r="O31" s="74" t="str">
        <f t="shared" si="0"/>
        <v/>
      </c>
      <c r="P31" s="74" t="str">
        <f>IF(Table_Controls_Input235[[#This Row],[Measure Number]]="", "", Table_Controls_Input235[[#This Row],[Total Equipment Cost]]+Table_Controls_Input235[[#This Row],[Total Labor Cost]])</f>
        <v/>
      </c>
      <c r="Q31" s="74" t="str">
        <f>IFERROR(Table_Controls_Input235[[#This Row],[Gross Measure Cost]]-Table_Controls_Input235[[#This Row],[Estimated Incentive]], "")</f>
        <v/>
      </c>
      <c r="R31" s="75" t="str">
        <f t="shared" si="1"/>
        <v/>
      </c>
      <c r="S31" s="115" t="str">
        <f>_xlfn.CONCAT(Table_Controls_Input235[[#This Row],[Window Replacement Measure]],Table_Controls_Input235[[#This Row],[Window Direction]])</f>
        <v/>
      </c>
      <c r="T31" s="4"/>
      <c r="U31" s="4"/>
      <c r="V31" s="4"/>
      <c r="W31" s="4"/>
      <c r="X31" s="4"/>
      <c r="Y31" s="4"/>
      <c r="Z31" s="4"/>
      <c r="AA31" s="4"/>
      <c r="AB31" s="4"/>
      <c r="AC31" s="4"/>
      <c r="AD31" s="4"/>
      <c r="AE31" s="4"/>
      <c r="AF31" s="4"/>
      <c r="AG31" s="4"/>
      <c r="AH31" s="4"/>
      <c r="AI31" s="4"/>
      <c r="AJ31" s="4"/>
      <c r="AK31" s="4"/>
      <c r="AL31" s="4"/>
      <c r="AM31" s="4"/>
      <c r="AN31" s="4"/>
    </row>
    <row r="32" spans="1:40" x14ac:dyDescent="0.2">
      <c r="A32" s="4"/>
      <c r="B32" s="71">
        <v>28</v>
      </c>
      <c r="C32" s="69" t="str">
        <f>IFERROR(INDEX(Table_EffWindow_Savings[Measure No], MATCH(Table_Controls_Input235[[#This Row],[Measure Lookup Detail]], Table_EffWindow_Savings[Lookup Detail], 0)), "")</f>
        <v/>
      </c>
      <c r="D32" s="61"/>
      <c r="E32" s="60"/>
      <c r="F32" s="69" t="str">
        <f>IFERROR(INDEX(Table_Prescript_Meas[Units], MATCH(Table_Controls_Input235[[#This Row],[Measure Number]], Table_Prescript_Meas[Measure Number], 0)), "")</f>
        <v/>
      </c>
      <c r="G32" s="49"/>
      <c r="H32" s="60"/>
      <c r="I32" s="73"/>
      <c r="J32" s="73"/>
      <c r="K32"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32" s="74" t="str">
        <f>IFERROR(Table_Controls_Input235[[#This Row],[Number of Units (Sq.Ft.)]]*Table_Controls_Input235[[#This Row],[Per-Unit Incentive]], "")</f>
        <v/>
      </c>
      <c r="M32" s="75" t="str">
        <f>IFERROR(Table_Controls_Input235[[#This Row],[Number of Units (Sq.Ft.)]]*INDEX(Table_EffWindow_Savings[Deemed kWh Savings], MATCH(Table_Controls_Input235[[#This Row],[Measure Lookup Detail]], Table_EffWindow_Savings[Lookup Detail], 0)),"" )</f>
        <v/>
      </c>
      <c r="N32" s="81" t="str">
        <f>IFERROR(Table_Controls_Input235[[#This Row],[Number of Units (Sq.Ft.)]]*INDEX(Table_EffWindow_Savings[Deemed kW Savings], MATCH(Table_Controls_Input235[[#This Row],[Measure Lookup Detail]], Table_EffWindow_Savings[Lookup Detail], 0)),"" )</f>
        <v/>
      </c>
      <c r="O32" s="74" t="str">
        <f t="shared" si="0"/>
        <v/>
      </c>
      <c r="P32" s="74" t="str">
        <f>IF(Table_Controls_Input235[[#This Row],[Measure Number]]="", "", Table_Controls_Input235[[#This Row],[Total Equipment Cost]]+Table_Controls_Input235[[#This Row],[Total Labor Cost]])</f>
        <v/>
      </c>
      <c r="Q32" s="74" t="str">
        <f>IFERROR(Table_Controls_Input235[[#This Row],[Gross Measure Cost]]-Table_Controls_Input235[[#This Row],[Estimated Incentive]], "")</f>
        <v/>
      </c>
      <c r="R32" s="75" t="str">
        <f t="shared" si="1"/>
        <v/>
      </c>
      <c r="S32" s="115" t="str">
        <f>_xlfn.CONCAT(Table_Controls_Input235[[#This Row],[Window Replacement Measure]],Table_Controls_Input235[[#This Row],[Window Direction]])</f>
        <v/>
      </c>
      <c r="T32" s="4"/>
      <c r="U32" s="4"/>
      <c r="V32" s="4"/>
      <c r="W32" s="4"/>
      <c r="X32" s="4"/>
      <c r="Y32" s="4"/>
      <c r="Z32" s="4"/>
      <c r="AA32" s="4"/>
      <c r="AB32" s="4"/>
      <c r="AC32" s="4"/>
      <c r="AD32" s="4"/>
      <c r="AE32" s="4"/>
      <c r="AF32" s="4"/>
      <c r="AG32" s="4"/>
      <c r="AH32" s="4"/>
      <c r="AI32" s="4"/>
      <c r="AJ32" s="4"/>
      <c r="AK32" s="4"/>
      <c r="AL32" s="4"/>
      <c r="AM32" s="4"/>
      <c r="AN32" s="4"/>
    </row>
    <row r="33" spans="1:40" x14ac:dyDescent="0.2">
      <c r="A33" s="4"/>
      <c r="B33" s="71">
        <v>29</v>
      </c>
      <c r="C33" s="69" t="str">
        <f>IFERROR(INDEX(Table_EffWindow_Savings[Measure No], MATCH(Table_Controls_Input235[[#This Row],[Measure Lookup Detail]], Table_EffWindow_Savings[Lookup Detail], 0)), "")</f>
        <v/>
      </c>
      <c r="D33" s="61"/>
      <c r="E33" s="60"/>
      <c r="F33" s="69" t="str">
        <f>IFERROR(INDEX(Table_Prescript_Meas[Units], MATCH(Table_Controls_Input235[[#This Row],[Measure Number]], Table_Prescript_Meas[Measure Number], 0)), "")</f>
        <v/>
      </c>
      <c r="G33" s="49"/>
      <c r="H33" s="60"/>
      <c r="I33" s="73"/>
      <c r="J33" s="73"/>
      <c r="K33"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33" s="74" t="str">
        <f>IFERROR(Table_Controls_Input235[[#This Row],[Number of Units (Sq.Ft.)]]*Table_Controls_Input235[[#This Row],[Per-Unit Incentive]], "")</f>
        <v/>
      </c>
      <c r="M33" s="75" t="str">
        <f>IFERROR(Table_Controls_Input235[[#This Row],[Number of Units (Sq.Ft.)]]*INDEX(Table_EffWindow_Savings[Deemed kWh Savings], MATCH(Table_Controls_Input235[[#This Row],[Measure Lookup Detail]], Table_EffWindow_Savings[Lookup Detail], 0)),"" )</f>
        <v/>
      </c>
      <c r="N33" s="81" t="str">
        <f>IFERROR(Table_Controls_Input235[[#This Row],[Number of Units (Sq.Ft.)]]*INDEX(Table_EffWindow_Savings[Deemed kW Savings], MATCH(Table_Controls_Input235[[#This Row],[Measure Lookup Detail]], Table_EffWindow_Savings[Lookup Detail], 0)),"" )</f>
        <v/>
      </c>
      <c r="O33" s="74" t="str">
        <f t="shared" si="0"/>
        <v/>
      </c>
      <c r="P33" s="74" t="str">
        <f>IF(Table_Controls_Input235[[#This Row],[Measure Number]]="", "", Table_Controls_Input235[[#This Row],[Total Equipment Cost]]+Table_Controls_Input235[[#This Row],[Total Labor Cost]])</f>
        <v/>
      </c>
      <c r="Q33" s="74" t="str">
        <f>IFERROR(Table_Controls_Input235[[#This Row],[Gross Measure Cost]]-Table_Controls_Input235[[#This Row],[Estimated Incentive]], "")</f>
        <v/>
      </c>
      <c r="R33" s="75" t="str">
        <f t="shared" si="1"/>
        <v/>
      </c>
      <c r="S33" s="115" t="str">
        <f>_xlfn.CONCAT(Table_Controls_Input235[[#This Row],[Window Replacement Measure]],Table_Controls_Input235[[#This Row],[Window Direction]])</f>
        <v/>
      </c>
      <c r="T33" s="4"/>
      <c r="U33" s="4"/>
      <c r="V33" s="4"/>
      <c r="W33" s="4"/>
      <c r="X33" s="4"/>
      <c r="Y33" s="4"/>
      <c r="Z33" s="4"/>
      <c r="AA33" s="4"/>
      <c r="AB33" s="4"/>
      <c r="AC33" s="4"/>
      <c r="AD33" s="4"/>
      <c r="AE33" s="4"/>
      <c r="AF33" s="4"/>
      <c r="AG33" s="4"/>
      <c r="AH33" s="4"/>
      <c r="AI33" s="4"/>
      <c r="AJ33" s="4"/>
      <c r="AK33" s="4"/>
      <c r="AL33" s="4"/>
      <c r="AM33" s="4"/>
      <c r="AN33" s="4"/>
    </row>
    <row r="34" spans="1:40" x14ac:dyDescent="0.2">
      <c r="A34" s="4"/>
      <c r="B34" s="71">
        <v>30</v>
      </c>
      <c r="C34" s="69" t="str">
        <f>IFERROR(INDEX(Table_EffWindow_Savings[Measure No], MATCH(Table_Controls_Input235[[#This Row],[Measure Lookup Detail]], Table_EffWindow_Savings[Lookup Detail], 0)), "")</f>
        <v/>
      </c>
      <c r="D34" s="61"/>
      <c r="E34" s="60"/>
      <c r="F34" s="69" t="str">
        <f>IFERROR(INDEX(Table_Prescript_Meas[Units], MATCH(Table_Controls_Input235[[#This Row],[Measure Number]], Table_Prescript_Meas[Measure Number], 0)), "")</f>
        <v/>
      </c>
      <c r="G34" s="49"/>
      <c r="H34" s="60"/>
      <c r="I34" s="73"/>
      <c r="J34" s="73"/>
      <c r="K34" s="74" t="str">
        <f>IFERROR(IF(Input_ProgramType=References!$W$4, INDEX(Table_Prescript_Meas[Incentive - SC], MATCH(Table_Controls_Input235[[#This Row],[Measure Number]], Table_Prescript_Meas[Measure Number], 0)), INDEX(Table_Prescript_Meas[Incentive - LC], MATCH(Table_Controls_Input235[[#This Row],[Measure Number]], Table_Prescript_Meas[Measure Number], 0))), "")</f>
        <v/>
      </c>
      <c r="L34" s="74" t="str">
        <f>IFERROR(Table_Controls_Input235[[#This Row],[Number of Units (Sq.Ft.)]]*Table_Controls_Input235[[#This Row],[Per-Unit Incentive]], "")</f>
        <v/>
      </c>
      <c r="M34" s="75" t="str">
        <f>IFERROR(Table_Controls_Input235[[#This Row],[Number of Units (Sq.Ft.)]]*INDEX(Table_EffWindow_Savings[Deemed kWh Savings], MATCH(Table_Controls_Input235[[#This Row],[Measure Lookup Detail]], Table_EffWindow_Savings[Lookup Detail], 0)),"" )</f>
        <v/>
      </c>
      <c r="N34" s="81" t="str">
        <f>IFERROR(Table_Controls_Input235[[#This Row],[Number of Units (Sq.Ft.)]]*INDEX(Table_EffWindow_Savings[Deemed kW Savings], MATCH(Table_Controls_Input235[[#This Row],[Measure Lookup Detail]], Table_EffWindow_Savings[Lookup Detail], 0)),"" )</f>
        <v/>
      </c>
      <c r="O34" s="74" t="str">
        <f t="shared" si="0"/>
        <v/>
      </c>
      <c r="P34" s="74" t="str">
        <f>IF(Table_Controls_Input235[[#This Row],[Measure Number]]="", "", Table_Controls_Input235[[#This Row],[Total Equipment Cost]]+Table_Controls_Input235[[#This Row],[Total Labor Cost]])</f>
        <v/>
      </c>
      <c r="Q34" s="74" t="str">
        <f>IFERROR(Table_Controls_Input235[[#This Row],[Gross Measure Cost]]-Table_Controls_Input235[[#This Row],[Estimated Incentive]], "")</f>
        <v/>
      </c>
      <c r="R34" s="75" t="str">
        <f t="shared" si="1"/>
        <v/>
      </c>
      <c r="S34" s="115" t="str">
        <f>_xlfn.CONCAT(Table_Controls_Input235[[#This Row],[Window Replacement Measure]],Table_Controls_Input235[[#This Row],[Window Direction]])</f>
        <v/>
      </c>
      <c r="T34" s="4"/>
      <c r="U34" s="4"/>
      <c r="V34" s="4"/>
      <c r="W34" s="4"/>
      <c r="X34" s="4"/>
      <c r="Y34" s="4"/>
      <c r="Z34" s="4"/>
      <c r="AA34" s="4"/>
      <c r="AB34" s="4"/>
      <c r="AC34" s="4"/>
      <c r="AD34" s="4"/>
      <c r="AE34" s="4"/>
      <c r="AF34" s="4"/>
      <c r="AG34" s="4"/>
      <c r="AH34" s="4"/>
      <c r="AI34" s="4"/>
      <c r="AJ34" s="4"/>
      <c r="AK34" s="4"/>
      <c r="AL34" s="4"/>
      <c r="AM34" s="4"/>
      <c r="AN34" s="4"/>
    </row>
    <row r="35" spans="1:40" x14ac:dyDescent="0.2">
      <c r="A35" s="4"/>
      <c r="S35" s="113"/>
      <c r="T35" s="4"/>
      <c r="U35" s="4"/>
      <c r="V35" s="4"/>
      <c r="W35" s="4"/>
      <c r="X35" s="4"/>
      <c r="Y35" s="4"/>
      <c r="Z35" s="4"/>
      <c r="AA35" s="4"/>
      <c r="AB35" s="4"/>
      <c r="AC35" s="4"/>
      <c r="AD35" s="4"/>
      <c r="AE35" s="4"/>
      <c r="AF35" s="4"/>
      <c r="AG35" s="4"/>
      <c r="AH35" s="4"/>
      <c r="AI35" s="4"/>
      <c r="AJ35" s="4"/>
      <c r="AK35" s="4"/>
      <c r="AL35" s="4"/>
      <c r="AM35" s="4"/>
      <c r="AN35" s="4"/>
    </row>
    <row r="36" spans="1:40" x14ac:dyDescent="0.2">
      <c r="S36"/>
    </row>
    <row r="37" spans="1:40" x14ac:dyDescent="0.2">
      <c r="B37" t="s">
        <v>11</v>
      </c>
      <c r="S37"/>
    </row>
    <row r="38" spans="1:40" x14ac:dyDescent="0.2">
      <c r="B38" t="str">
        <f>Value_Application_Version</f>
        <v>Version 3.1</v>
      </c>
      <c r="S38"/>
    </row>
    <row r="39" spans="1:40" x14ac:dyDescent="0.2">
      <c r="S39"/>
    </row>
    <row r="40" spans="1:40" x14ac:dyDescent="0.2">
      <c r="A40" s="4"/>
      <c r="S40" s="113"/>
      <c r="T40" s="4"/>
      <c r="U40" s="4"/>
      <c r="V40" s="4"/>
      <c r="W40" s="4"/>
      <c r="X40" s="4"/>
      <c r="Y40" s="4"/>
      <c r="Z40" s="4"/>
      <c r="AA40" s="4"/>
      <c r="AB40" s="4"/>
      <c r="AC40" s="4"/>
      <c r="AD40" s="4"/>
      <c r="AE40" s="4"/>
      <c r="AF40" s="4"/>
      <c r="AG40" s="4"/>
      <c r="AH40" s="4"/>
      <c r="AI40" s="4"/>
      <c r="AJ40" s="4"/>
      <c r="AK40" s="4"/>
      <c r="AL40" s="4"/>
      <c r="AM40" s="4"/>
      <c r="AN40" s="4"/>
    </row>
    <row r="41" spans="1:40" x14ac:dyDescent="0.2">
      <c r="A41" s="4"/>
      <c r="S41" s="113"/>
      <c r="T41" s="4"/>
      <c r="U41" s="4"/>
      <c r="V41" s="4"/>
      <c r="W41" s="4"/>
      <c r="X41" s="4"/>
      <c r="Y41" s="4"/>
      <c r="Z41" s="4"/>
      <c r="AA41" s="4"/>
      <c r="AB41" s="4"/>
      <c r="AC41" s="4"/>
      <c r="AD41" s="4"/>
      <c r="AE41" s="4"/>
      <c r="AF41" s="4"/>
      <c r="AG41" s="4"/>
      <c r="AH41" s="4"/>
      <c r="AI41" s="4"/>
      <c r="AJ41" s="4"/>
      <c r="AK41" s="4"/>
      <c r="AL41" s="4"/>
      <c r="AM41" s="4"/>
      <c r="AN41" s="4"/>
    </row>
    <row r="42" spans="1:40" x14ac:dyDescent="0.2">
      <c r="A42" s="4"/>
      <c r="S42" s="113"/>
      <c r="T42" s="4"/>
      <c r="U42" s="4"/>
      <c r="V42" s="4"/>
      <c r="W42" s="4"/>
      <c r="X42" s="4"/>
      <c r="Y42" s="4"/>
      <c r="Z42" s="4"/>
      <c r="AA42" s="4"/>
      <c r="AB42" s="4"/>
      <c r="AC42" s="4"/>
      <c r="AD42" s="4"/>
      <c r="AE42" s="4"/>
      <c r="AF42" s="4"/>
      <c r="AG42" s="4"/>
      <c r="AH42" s="4"/>
      <c r="AI42" s="4"/>
      <c r="AJ42" s="4"/>
      <c r="AK42" s="4"/>
      <c r="AL42" s="4"/>
      <c r="AM42" s="4"/>
      <c r="AN42" s="4"/>
    </row>
    <row r="43" spans="1:40" x14ac:dyDescent="0.2">
      <c r="A43" s="4"/>
      <c r="S43" s="113"/>
      <c r="T43" s="4"/>
      <c r="U43" s="4"/>
      <c r="V43" s="4"/>
      <c r="W43" s="4"/>
      <c r="X43" s="4"/>
      <c r="Y43" s="4"/>
      <c r="Z43" s="4"/>
      <c r="AA43" s="4"/>
      <c r="AB43" s="4"/>
      <c r="AC43" s="4"/>
      <c r="AD43" s="4"/>
      <c r="AE43" s="4"/>
      <c r="AF43" s="4"/>
      <c r="AG43" s="4"/>
      <c r="AH43" s="4"/>
      <c r="AI43" s="4"/>
      <c r="AJ43" s="4"/>
      <c r="AK43" s="4"/>
      <c r="AL43" s="4"/>
      <c r="AM43" s="4"/>
      <c r="AN43" s="4"/>
    </row>
    <row r="44" spans="1:40" x14ac:dyDescent="0.2">
      <c r="A44" s="4"/>
      <c r="S44" s="113"/>
      <c r="T44" s="4"/>
      <c r="U44" s="4"/>
      <c r="V44" s="4"/>
      <c r="W44" s="4"/>
      <c r="X44" s="4"/>
      <c r="Y44" s="4"/>
      <c r="Z44" s="4"/>
      <c r="AA44" s="4"/>
      <c r="AB44" s="4"/>
      <c r="AC44" s="4"/>
      <c r="AD44" s="4"/>
      <c r="AE44" s="4"/>
      <c r="AF44" s="4"/>
      <c r="AG44" s="4"/>
      <c r="AH44" s="4"/>
      <c r="AI44" s="4"/>
      <c r="AJ44" s="4"/>
      <c r="AK44" s="4"/>
      <c r="AL44" s="4"/>
      <c r="AM44" s="4"/>
      <c r="AN44" s="4"/>
    </row>
    <row r="45" spans="1:40" x14ac:dyDescent="0.2">
      <c r="A45" s="4"/>
      <c r="S45" s="113"/>
      <c r="T45" s="4"/>
      <c r="U45" s="4"/>
      <c r="V45" s="4"/>
      <c r="W45" s="4"/>
      <c r="X45" s="4"/>
      <c r="Y45" s="4"/>
      <c r="Z45" s="4"/>
      <c r="AA45" s="4"/>
      <c r="AB45" s="4"/>
      <c r="AC45" s="4"/>
      <c r="AD45" s="4"/>
      <c r="AE45" s="4"/>
      <c r="AF45" s="4"/>
      <c r="AG45" s="4"/>
      <c r="AH45" s="4"/>
      <c r="AI45" s="4"/>
      <c r="AJ45" s="4"/>
      <c r="AK45" s="4"/>
      <c r="AL45" s="4"/>
      <c r="AM45" s="4"/>
      <c r="AN45" s="4"/>
    </row>
    <row r="46" spans="1:40" x14ac:dyDescent="0.2">
      <c r="A46" s="4"/>
      <c r="S46" s="113"/>
      <c r="T46" s="4"/>
      <c r="U46" s="4"/>
      <c r="V46" s="4"/>
      <c r="W46" s="4"/>
      <c r="X46" s="4"/>
      <c r="Y46" s="4"/>
      <c r="Z46" s="4"/>
      <c r="AA46" s="4"/>
      <c r="AB46" s="4"/>
      <c r="AC46" s="4"/>
      <c r="AD46" s="4"/>
      <c r="AE46" s="4"/>
      <c r="AF46" s="4"/>
      <c r="AG46" s="4"/>
      <c r="AH46" s="4"/>
      <c r="AI46" s="4"/>
      <c r="AJ46" s="4"/>
      <c r="AK46" s="4"/>
      <c r="AL46" s="4"/>
      <c r="AM46" s="4"/>
      <c r="AN46" s="4"/>
    </row>
    <row r="47" spans="1:40" x14ac:dyDescent="0.2">
      <c r="A47" s="4"/>
      <c r="S47" s="113"/>
      <c r="T47" s="4"/>
      <c r="U47" s="4"/>
      <c r="V47" s="4"/>
      <c r="W47" s="4"/>
      <c r="X47" s="4"/>
      <c r="Y47" s="4"/>
      <c r="Z47" s="4"/>
      <c r="AA47" s="4"/>
      <c r="AB47" s="4"/>
      <c r="AC47" s="4"/>
      <c r="AD47" s="4"/>
      <c r="AE47" s="4"/>
      <c r="AF47" s="4"/>
      <c r="AG47" s="4"/>
      <c r="AH47" s="4"/>
      <c r="AI47" s="4"/>
      <c r="AJ47" s="4"/>
      <c r="AK47" s="4"/>
      <c r="AL47" s="4"/>
      <c r="AM47" s="4"/>
      <c r="AN47" s="4"/>
    </row>
    <row r="48" spans="1:40" x14ac:dyDescent="0.2">
      <c r="A48" s="4"/>
      <c r="S48" s="113"/>
      <c r="T48" s="4"/>
      <c r="U48" s="4"/>
      <c r="V48" s="4"/>
      <c r="W48" s="4"/>
      <c r="X48" s="4"/>
      <c r="Y48" s="4"/>
      <c r="Z48" s="4"/>
      <c r="AA48" s="4"/>
      <c r="AB48" s="4"/>
      <c r="AC48" s="4"/>
      <c r="AD48" s="4"/>
      <c r="AE48" s="4"/>
      <c r="AF48" s="4"/>
      <c r="AG48" s="4"/>
      <c r="AH48" s="4"/>
      <c r="AI48" s="4"/>
      <c r="AJ48" s="4"/>
      <c r="AK48" s="4"/>
      <c r="AL48" s="4"/>
      <c r="AM48" s="4"/>
      <c r="AN48" s="4"/>
    </row>
    <row r="49" spans="1:40" x14ac:dyDescent="0.2">
      <c r="A49" s="4"/>
      <c r="S49" s="113"/>
      <c r="T49" s="4"/>
      <c r="U49" s="4"/>
      <c r="V49" s="4"/>
      <c r="W49" s="4"/>
      <c r="X49" s="4"/>
      <c r="Y49" s="4"/>
      <c r="Z49" s="4"/>
      <c r="AA49" s="4"/>
      <c r="AB49" s="4"/>
      <c r="AC49" s="4"/>
      <c r="AD49" s="4"/>
      <c r="AE49" s="4"/>
      <c r="AF49" s="4"/>
      <c r="AG49" s="4"/>
      <c r="AH49" s="4"/>
      <c r="AI49" s="4"/>
      <c r="AJ49" s="4"/>
      <c r="AK49" s="4"/>
      <c r="AL49" s="4"/>
      <c r="AM49" s="4"/>
      <c r="AN49" s="4"/>
    </row>
    <row r="50" spans="1:40" x14ac:dyDescent="0.2">
      <c r="A50" s="4"/>
      <c r="S50" s="113"/>
      <c r="T50" s="4"/>
      <c r="U50" s="4"/>
      <c r="V50" s="4"/>
      <c r="W50" s="4"/>
      <c r="X50" s="4"/>
      <c r="Y50" s="4"/>
      <c r="Z50" s="4"/>
      <c r="AA50" s="4"/>
      <c r="AB50" s="4"/>
      <c r="AC50" s="4"/>
      <c r="AD50" s="4"/>
      <c r="AE50" s="4"/>
      <c r="AF50" s="4"/>
      <c r="AG50" s="4"/>
      <c r="AH50" s="4"/>
      <c r="AI50" s="4"/>
      <c r="AJ50" s="4"/>
      <c r="AK50" s="4"/>
      <c r="AL50" s="4"/>
      <c r="AM50" s="4"/>
      <c r="AN50" s="4"/>
    </row>
    <row r="51" spans="1:40" x14ac:dyDescent="0.2">
      <c r="A51" s="4"/>
      <c r="S51" s="113"/>
      <c r="T51" s="4"/>
      <c r="U51" s="4"/>
      <c r="V51" s="4"/>
      <c r="W51" s="4"/>
      <c r="X51" s="4"/>
      <c r="Y51" s="4"/>
      <c r="Z51" s="4"/>
      <c r="AA51" s="4"/>
      <c r="AB51" s="4"/>
      <c r="AC51" s="4"/>
      <c r="AD51" s="4"/>
      <c r="AE51" s="4"/>
      <c r="AF51" s="4"/>
      <c r="AG51" s="4"/>
      <c r="AH51" s="4"/>
      <c r="AI51" s="4"/>
      <c r="AJ51" s="4"/>
      <c r="AK51" s="4"/>
      <c r="AL51" s="4"/>
      <c r="AM51" s="4"/>
      <c r="AN51" s="4"/>
    </row>
    <row r="52" spans="1:40" x14ac:dyDescent="0.2">
      <c r="A52" s="4"/>
      <c r="S52" s="113"/>
      <c r="T52" s="4"/>
      <c r="U52" s="4"/>
      <c r="V52" s="4"/>
      <c r="W52" s="4"/>
      <c r="X52" s="4"/>
      <c r="Y52" s="4"/>
      <c r="Z52" s="4"/>
      <c r="AA52" s="4"/>
      <c r="AB52" s="4"/>
      <c r="AC52" s="4"/>
      <c r="AD52" s="4"/>
      <c r="AE52" s="4"/>
      <c r="AF52" s="4"/>
      <c r="AG52" s="4"/>
      <c r="AH52" s="4"/>
      <c r="AI52" s="4"/>
      <c r="AJ52" s="4"/>
      <c r="AK52" s="4"/>
      <c r="AL52" s="4"/>
      <c r="AM52" s="4"/>
      <c r="AN52" s="4"/>
    </row>
    <row r="53" spans="1:40" x14ac:dyDescent="0.2">
      <c r="A53" s="4"/>
      <c r="S53" s="113"/>
      <c r="T53" s="4"/>
      <c r="U53" s="4"/>
      <c r="V53" s="4"/>
      <c r="W53" s="4"/>
      <c r="X53" s="4"/>
      <c r="Y53" s="4"/>
      <c r="Z53" s="4"/>
      <c r="AA53" s="4"/>
      <c r="AB53" s="4"/>
      <c r="AC53" s="4"/>
      <c r="AD53" s="4"/>
      <c r="AE53" s="4"/>
      <c r="AF53" s="4"/>
      <c r="AG53" s="4"/>
      <c r="AH53" s="4"/>
      <c r="AI53" s="4"/>
      <c r="AJ53" s="4"/>
      <c r="AK53" s="4"/>
      <c r="AL53" s="4"/>
      <c r="AM53" s="4"/>
      <c r="AN53" s="4"/>
    </row>
    <row r="54" spans="1:40" x14ac:dyDescent="0.2">
      <c r="A54" s="4"/>
      <c r="S54" s="113"/>
      <c r="T54" s="4"/>
      <c r="U54" s="4"/>
      <c r="V54" s="4"/>
      <c r="W54" s="4"/>
      <c r="X54" s="4"/>
      <c r="Y54" s="4"/>
      <c r="Z54" s="4"/>
      <c r="AA54" s="4"/>
      <c r="AB54" s="4"/>
      <c r="AC54" s="4"/>
      <c r="AD54" s="4"/>
      <c r="AE54" s="4"/>
      <c r="AF54" s="4"/>
      <c r="AG54" s="4"/>
      <c r="AH54" s="4"/>
      <c r="AI54" s="4"/>
      <c r="AJ54" s="4"/>
      <c r="AK54" s="4"/>
      <c r="AL54" s="4"/>
      <c r="AM54" s="4"/>
      <c r="AN54" s="4"/>
    </row>
    <row r="55" spans="1:40" x14ac:dyDescent="0.2">
      <c r="A55" s="4"/>
      <c r="S55" s="113"/>
      <c r="T55" s="4"/>
      <c r="U55" s="4"/>
      <c r="V55" s="4"/>
      <c r="W55" s="4"/>
      <c r="X55" s="4"/>
      <c r="Y55" s="4"/>
      <c r="Z55" s="4"/>
      <c r="AA55" s="4"/>
      <c r="AB55" s="4"/>
      <c r="AC55" s="4"/>
      <c r="AD55" s="4"/>
      <c r="AE55" s="4"/>
      <c r="AF55" s="4"/>
      <c r="AG55" s="4"/>
      <c r="AH55" s="4"/>
      <c r="AI55" s="4"/>
      <c r="AJ55" s="4"/>
      <c r="AK55" s="4"/>
      <c r="AL55" s="4"/>
      <c r="AM55" s="4"/>
      <c r="AN55" s="4"/>
    </row>
    <row r="56" spans="1:40" x14ac:dyDescent="0.2">
      <c r="A56" s="4"/>
      <c r="S56" s="113"/>
      <c r="T56" s="4"/>
      <c r="U56" s="4"/>
      <c r="V56" s="4"/>
      <c r="W56" s="4"/>
      <c r="X56" s="4"/>
      <c r="Y56" s="4"/>
      <c r="Z56" s="4"/>
      <c r="AA56" s="4"/>
      <c r="AB56" s="4"/>
      <c r="AC56" s="4"/>
      <c r="AD56" s="4"/>
      <c r="AE56" s="4"/>
      <c r="AF56" s="4"/>
      <c r="AG56" s="4"/>
      <c r="AH56" s="4"/>
      <c r="AI56" s="4"/>
      <c r="AJ56" s="4"/>
      <c r="AK56" s="4"/>
      <c r="AL56" s="4"/>
      <c r="AM56" s="4"/>
      <c r="AN56" s="4"/>
    </row>
    <row r="57" spans="1:40" x14ac:dyDescent="0.2">
      <c r="A57" s="4"/>
      <c r="S57" s="113"/>
      <c r="T57" s="4"/>
      <c r="U57" s="4"/>
      <c r="V57" s="4"/>
      <c r="W57" s="4"/>
      <c r="X57" s="4"/>
      <c r="Y57" s="4"/>
      <c r="Z57" s="4"/>
      <c r="AA57" s="4"/>
      <c r="AB57" s="4"/>
      <c r="AC57" s="4"/>
      <c r="AD57" s="4"/>
      <c r="AE57" s="4"/>
      <c r="AF57" s="4"/>
      <c r="AG57" s="4"/>
      <c r="AH57" s="4"/>
      <c r="AI57" s="4"/>
      <c r="AJ57" s="4"/>
      <c r="AK57" s="4"/>
      <c r="AL57" s="4"/>
      <c r="AM57" s="4"/>
      <c r="AN57" s="4"/>
    </row>
    <row r="58" spans="1:40" x14ac:dyDescent="0.2">
      <c r="A58" s="4"/>
      <c r="S58" s="113"/>
      <c r="T58" s="4"/>
      <c r="U58" s="4"/>
      <c r="V58" s="4"/>
      <c r="W58" s="4"/>
      <c r="X58" s="4"/>
      <c r="Y58" s="4"/>
      <c r="Z58" s="4"/>
      <c r="AA58" s="4"/>
      <c r="AB58" s="4"/>
      <c r="AC58" s="4"/>
      <c r="AD58" s="4"/>
      <c r="AE58" s="4"/>
      <c r="AF58" s="4"/>
      <c r="AG58" s="4"/>
      <c r="AH58" s="4"/>
      <c r="AI58" s="4"/>
      <c r="AJ58" s="4"/>
      <c r="AK58" s="4"/>
      <c r="AL58" s="4"/>
      <c r="AM58" s="4"/>
      <c r="AN58" s="4"/>
    </row>
    <row r="59" spans="1:40" x14ac:dyDescent="0.2">
      <c r="A59" s="4"/>
      <c r="S59" s="113"/>
      <c r="T59" s="4"/>
      <c r="U59" s="4"/>
      <c r="V59" s="4"/>
      <c r="W59" s="4"/>
      <c r="X59" s="4"/>
      <c r="Y59" s="4"/>
      <c r="Z59" s="4"/>
      <c r="AA59" s="4"/>
      <c r="AB59" s="4"/>
      <c r="AC59" s="4"/>
      <c r="AD59" s="4"/>
      <c r="AE59" s="4"/>
      <c r="AF59" s="4"/>
      <c r="AG59" s="4"/>
      <c r="AH59" s="4"/>
      <c r="AI59" s="4"/>
      <c r="AJ59" s="4"/>
      <c r="AK59" s="4"/>
      <c r="AL59" s="4"/>
      <c r="AM59" s="4"/>
      <c r="AN59" s="4"/>
    </row>
    <row r="60" spans="1:40" x14ac:dyDescent="0.2">
      <c r="A60" s="4"/>
      <c r="S60" s="113"/>
      <c r="T60" s="4"/>
      <c r="U60" s="4"/>
      <c r="V60" s="4"/>
      <c r="W60" s="4"/>
      <c r="X60" s="4"/>
      <c r="Y60" s="4"/>
      <c r="Z60" s="4"/>
      <c r="AA60" s="4"/>
      <c r="AB60" s="4"/>
      <c r="AC60" s="4"/>
      <c r="AD60" s="4"/>
      <c r="AE60" s="4"/>
      <c r="AF60" s="4"/>
      <c r="AG60" s="4"/>
      <c r="AH60" s="4"/>
      <c r="AI60" s="4"/>
      <c r="AJ60" s="4"/>
      <c r="AK60" s="4"/>
      <c r="AL60" s="4"/>
      <c r="AM60" s="4"/>
      <c r="AN60" s="4"/>
    </row>
    <row r="61" spans="1:40" x14ac:dyDescent="0.2">
      <c r="A61" s="4"/>
      <c r="S61" s="113"/>
      <c r="T61" s="4"/>
      <c r="U61" s="4"/>
      <c r="V61" s="4"/>
      <c r="W61" s="4"/>
      <c r="X61" s="4"/>
      <c r="Y61" s="4"/>
      <c r="Z61" s="4"/>
      <c r="AA61" s="4"/>
      <c r="AB61" s="4"/>
      <c r="AC61" s="4"/>
      <c r="AD61" s="4"/>
      <c r="AE61" s="4"/>
      <c r="AF61" s="4"/>
      <c r="AG61" s="4"/>
      <c r="AH61" s="4"/>
      <c r="AI61" s="4"/>
      <c r="AJ61" s="4"/>
      <c r="AK61" s="4"/>
      <c r="AL61" s="4"/>
      <c r="AM61" s="4"/>
      <c r="AN61" s="4"/>
    </row>
    <row r="62" spans="1:40" x14ac:dyDescent="0.2">
      <c r="A62" s="4"/>
      <c r="S62" s="113"/>
      <c r="T62" s="4"/>
      <c r="U62" s="4"/>
      <c r="V62" s="4"/>
      <c r="W62" s="4"/>
      <c r="X62" s="4"/>
      <c r="Y62" s="4"/>
      <c r="Z62" s="4"/>
      <c r="AA62" s="4"/>
      <c r="AB62" s="4"/>
      <c r="AC62" s="4"/>
      <c r="AD62" s="4"/>
      <c r="AE62" s="4"/>
      <c r="AF62" s="4"/>
      <c r="AG62" s="4"/>
      <c r="AH62" s="4"/>
      <c r="AI62" s="4"/>
      <c r="AJ62" s="4"/>
      <c r="AK62" s="4"/>
      <c r="AL62" s="4"/>
      <c r="AM62" s="4"/>
      <c r="AN62" s="4"/>
    </row>
    <row r="63" spans="1:40" x14ac:dyDescent="0.2">
      <c r="A63" s="4"/>
      <c r="S63" s="113"/>
      <c r="T63" s="4"/>
      <c r="U63" s="4"/>
      <c r="V63" s="4"/>
      <c r="W63" s="4"/>
      <c r="X63" s="4"/>
      <c r="Y63" s="4"/>
      <c r="Z63" s="4"/>
      <c r="AA63" s="4"/>
      <c r="AB63" s="4"/>
      <c r="AC63" s="4"/>
      <c r="AD63" s="4"/>
      <c r="AE63" s="4"/>
      <c r="AF63" s="4"/>
      <c r="AG63" s="4"/>
      <c r="AH63" s="4"/>
      <c r="AI63" s="4"/>
      <c r="AJ63" s="4"/>
      <c r="AK63" s="4"/>
      <c r="AL63" s="4"/>
      <c r="AM63" s="4"/>
      <c r="AN63" s="4"/>
    </row>
    <row r="64" spans="1:40" x14ac:dyDescent="0.2">
      <c r="A64" s="4"/>
      <c r="S64" s="113"/>
      <c r="T64" s="4"/>
      <c r="U64" s="4"/>
      <c r="V64" s="4"/>
      <c r="W64" s="4"/>
      <c r="X64" s="4"/>
      <c r="Y64" s="4"/>
      <c r="Z64" s="4"/>
      <c r="AA64" s="4"/>
      <c r="AB64" s="4"/>
      <c r="AC64" s="4"/>
      <c r="AD64" s="4"/>
      <c r="AE64" s="4"/>
      <c r="AF64" s="4"/>
      <c r="AG64" s="4"/>
      <c r="AH64" s="4"/>
      <c r="AI64" s="4"/>
      <c r="AJ64" s="4"/>
      <c r="AK64" s="4"/>
      <c r="AL64" s="4"/>
      <c r="AM64" s="4"/>
      <c r="AN64" s="4"/>
    </row>
    <row r="65" spans="1:40" x14ac:dyDescent="0.2">
      <c r="A65" s="4"/>
      <c r="S65" s="113"/>
      <c r="T65" s="4"/>
      <c r="U65" s="4"/>
      <c r="V65" s="4"/>
      <c r="W65" s="4"/>
      <c r="X65" s="4"/>
      <c r="Y65" s="4"/>
      <c r="Z65" s="4"/>
      <c r="AA65" s="4"/>
      <c r="AB65" s="4"/>
      <c r="AC65" s="4"/>
      <c r="AD65" s="4"/>
      <c r="AE65" s="4"/>
      <c r="AF65" s="4"/>
      <c r="AG65" s="4"/>
      <c r="AH65" s="4"/>
      <c r="AI65" s="4"/>
      <c r="AJ65" s="4"/>
      <c r="AK65" s="4"/>
      <c r="AL65" s="4"/>
      <c r="AM65" s="4"/>
      <c r="AN65" s="4"/>
    </row>
    <row r="66" spans="1:40" x14ac:dyDescent="0.2">
      <c r="A66" s="4"/>
      <c r="S66" s="113"/>
      <c r="T66" s="4"/>
      <c r="U66" s="4"/>
      <c r="V66" s="4"/>
      <c r="W66" s="4"/>
      <c r="X66" s="4"/>
      <c r="Y66" s="4"/>
      <c r="Z66" s="4"/>
      <c r="AA66" s="4"/>
      <c r="AB66" s="4"/>
      <c r="AC66" s="4"/>
      <c r="AD66" s="4"/>
      <c r="AE66" s="4"/>
      <c r="AF66" s="4"/>
      <c r="AG66" s="4"/>
      <c r="AH66" s="4"/>
      <c r="AI66" s="4"/>
      <c r="AJ66" s="4"/>
      <c r="AK66" s="4"/>
      <c r="AL66" s="4"/>
      <c r="AM66" s="4"/>
      <c r="AN66" s="4"/>
    </row>
    <row r="67" spans="1:40" x14ac:dyDescent="0.2">
      <c r="A67" s="4"/>
      <c r="S67" s="113"/>
      <c r="T67" s="4"/>
      <c r="U67" s="4"/>
      <c r="V67" s="4"/>
      <c r="W67" s="4"/>
      <c r="X67" s="4"/>
      <c r="Y67" s="4"/>
      <c r="Z67" s="4"/>
      <c r="AA67" s="4"/>
      <c r="AB67" s="4"/>
      <c r="AC67" s="4"/>
      <c r="AD67" s="4"/>
      <c r="AE67" s="4"/>
      <c r="AF67" s="4"/>
      <c r="AG67" s="4"/>
      <c r="AH67" s="4"/>
      <c r="AI67" s="4"/>
      <c r="AJ67" s="4"/>
      <c r="AK67" s="4"/>
      <c r="AL67" s="4"/>
      <c r="AM67" s="4"/>
      <c r="AN67" s="4"/>
    </row>
    <row r="68" spans="1:40" x14ac:dyDescent="0.2">
      <c r="A68" s="4"/>
      <c r="S68" s="113"/>
      <c r="T68" s="4"/>
      <c r="U68" s="4"/>
      <c r="V68" s="4"/>
      <c r="W68" s="4"/>
      <c r="X68" s="4"/>
      <c r="Y68" s="4"/>
      <c r="Z68" s="4"/>
      <c r="AA68" s="4"/>
      <c r="AB68" s="4"/>
      <c r="AC68" s="4"/>
      <c r="AD68" s="4"/>
      <c r="AE68" s="4"/>
      <c r="AF68" s="4"/>
      <c r="AG68" s="4"/>
      <c r="AH68" s="4"/>
      <c r="AI68" s="4"/>
      <c r="AJ68" s="4"/>
      <c r="AK68" s="4"/>
      <c r="AL68" s="4"/>
      <c r="AM68" s="4"/>
      <c r="AN68" s="4"/>
    </row>
    <row r="69" spans="1:40" x14ac:dyDescent="0.2">
      <c r="A69" s="4"/>
      <c r="S69" s="113"/>
      <c r="T69" s="4"/>
      <c r="U69" s="4"/>
      <c r="V69" s="4"/>
      <c r="W69" s="4"/>
      <c r="X69" s="4"/>
      <c r="Y69" s="4"/>
      <c r="Z69" s="4"/>
      <c r="AA69" s="4"/>
      <c r="AB69" s="4"/>
      <c r="AC69" s="4"/>
      <c r="AD69" s="4"/>
      <c r="AE69" s="4"/>
      <c r="AF69" s="4"/>
      <c r="AG69" s="4"/>
      <c r="AH69" s="4"/>
      <c r="AI69" s="4"/>
      <c r="AJ69" s="4"/>
      <c r="AK69" s="4"/>
      <c r="AL69" s="4"/>
      <c r="AM69" s="4"/>
      <c r="AN69" s="4"/>
    </row>
    <row r="70" spans="1:40" x14ac:dyDescent="0.2">
      <c r="A70" s="4"/>
      <c r="S70" s="113"/>
      <c r="T70" s="4"/>
      <c r="U70" s="4"/>
      <c r="V70" s="4"/>
      <c r="W70" s="4"/>
      <c r="X70" s="4"/>
      <c r="Y70" s="4"/>
      <c r="Z70" s="4"/>
      <c r="AA70" s="4"/>
      <c r="AB70" s="4"/>
      <c r="AC70" s="4"/>
      <c r="AD70" s="4"/>
      <c r="AE70" s="4"/>
      <c r="AF70" s="4"/>
      <c r="AG70" s="4"/>
      <c r="AH70" s="4"/>
      <c r="AI70" s="4"/>
      <c r="AJ70" s="4"/>
      <c r="AK70" s="4"/>
      <c r="AL70" s="4"/>
      <c r="AM70" s="4"/>
      <c r="AN70" s="4"/>
    </row>
    <row r="71" spans="1:40" x14ac:dyDescent="0.2">
      <c r="A71" s="4"/>
      <c r="S71" s="113"/>
      <c r="T71" s="4"/>
      <c r="U71" s="4"/>
      <c r="V71" s="4"/>
      <c r="W71" s="4"/>
      <c r="X71" s="4"/>
      <c r="Y71" s="4"/>
      <c r="Z71" s="4"/>
      <c r="AA71" s="4"/>
      <c r="AB71" s="4"/>
      <c r="AC71" s="4"/>
      <c r="AD71" s="4"/>
      <c r="AE71" s="4"/>
      <c r="AF71" s="4"/>
      <c r="AG71" s="4"/>
      <c r="AH71" s="4"/>
      <c r="AI71" s="4"/>
      <c r="AJ71" s="4"/>
      <c r="AK71" s="4"/>
      <c r="AL71" s="4"/>
      <c r="AM71" s="4"/>
      <c r="AN71" s="4"/>
    </row>
    <row r="72" spans="1:40" x14ac:dyDescent="0.2">
      <c r="A72" s="4"/>
      <c r="S72" s="113"/>
      <c r="T72" s="4"/>
      <c r="U72" s="4"/>
      <c r="V72" s="4"/>
      <c r="W72" s="4"/>
      <c r="X72" s="4"/>
      <c r="Y72" s="4"/>
      <c r="Z72" s="4"/>
      <c r="AA72" s="4"/>
      <c r="AB72" s="4"/>
      <c r="AC72" s="4"/>
      <c r="AD72" s="4"/>
      <c r="AE72" s="4"/>
      <c r="AF72" s="4"/>
      <c r="AG72" s="4"/>
      <c r="AH72" s="4"/>
      <c r="AI72" s="4"/>
      <c r="AJ72" s="4"/>
      <c r="AK72" s="4"/>
      <c r="AL72" s="4"/>
      <c r="AM72" s="4"/>
      <c r="AN72" s="4"/>
    </row>
    <row r="73" spans="1:40" x14ac:dyDescent="0.2">
      <c r="A73" s="4"/>
      <c r="S73" s="113"/>
      <c r="T73" s="4"/>
      <c r="U73" s="4"/>
      <c r="V73" s="4"/>
      <c r="W73" s="4"/>
      <c r="X73" s="4"/>
      <c r="Y73" s="4"/>
      <c r="Z73" s="4"/>
      <c r="AA73" s="4"/>
      <c r="AB73" s="4"/>
      <c r="AC73" s="4"/>
      <c r="AD73" s="4"/>
      <c r="AE73" s="4"/>
      <c r="AF73" s="4"/>
      <c r="AG73" s="4"/>
      <c r="AH73" s="4"/>
      <c r="AI73" s="4"/>
      <c r="AJ73" s="4"/>
      <c r="AK73" s="4"/>
      <c r="AL73" s="4"/>
      <c r="AM73" s="4"/>
      <c r="AN73" s="4"/>
    </row>
    <row r="74" spans="1:40" x14ac:dyDescent="0.2">
      <c r="A74" s="4"/>
      <c r="S74" s="113"/>
      <c r="T74" s="4"/>
      <c r="U74" s="4"/>
      <c r="V74" s="4"/>
      <c r="W74" s="4"/>
      <c r="X74" s="4"/>
      <c r="Y74" s="4"/>
      <c r="Z74" s="4"/>
      <c r="AA74" s="4"/>
      <c r="AB74" s="4"/>
      <c r="AC74" s="4"/>
      <c r="AD74" s="4"/>
      <c r="AE74" s="4"/>
      <c r="AF74" s="4"/>
      <c r="AG74" s="4"/>
      <c r="AH74" s="4"/>
      <c r="AI74" s="4"/>
      <c r="AJ74" s="4"/>
      <c r="AK74" s="4"/>
      <c r="AL74" s="4"/>
      <c r="AM74" s="4"/>
      <c r="AN74" s="4"/>
    </row>
    <row r="75" spans="1:40" x14ac:dyDescent="0.2">
      <c r="A75" s="4"/>
      <c r="S75" s="113"/>
      <c r="T75" s="4"/>
      <c r="U75" s="4"/>
      <c r="V75" s="4"/>
      <c r="W75" s="4"/>
      <c r="X75" s="4"/>
      <c r="Y75" s="4"/>
      <c r="Z75" s="4"/>
      <c r="AA75" s="4"/>
      <c r="AB75" s="4"/>
      <c r="AC75" s="4"/>
      <c r="AD75" s="4"/>
      <c r="AE75" s="4"/>
      <c r="AF75" s="4"/>
      <c r="AG75" s="4"/>
      <c r="AH75" s="4"/>
      <c r="AI75" s="4"/>
      <c r="AJ75" s="4"/>
      <c r="AK75" s="4"/>
      <c r="AL75" s="4"/>
      <c r="AM75" s="4"/>
      <c r="AN75" s="4"/>
    </row>
    <row r="76" spans="1:40" x14ac:dyDescent="0.2">
      <c r="A76" s="4"/>
      <c r="S76" s="113"/>
      <c r="T76" s="4"/>
      <c r="U76" s="4"/>
      <c r="V76" s="4"/>
      <c r="W76" s="4"/>
      <c r="X76" s="4"/>
      <c r="Y76" s="4"/>
      <c r="Z76" s="4"/>
      <c r="AA76" s="4"/>
      <c r="AB76" s="4"/>
      <c r="AC76" s="4"/>
      <c r="AD76" s="4"/>
      <c r="AE76" s="4"/>
      <c r="AF76" s="4"/>
      <c r="AG76" s="4"/>
      <c r="AH76" s="4"/>
      <c r="AI76" s="4"/>
      <c r="AJ76" s="4"/>
      <c r="AK76" s="4"/>
      <c r="AL76" s="4"/>
      <c r="AM76" s="4"/>
      <c r="AN76" s="4"/>
    </row>
    <row r="77" spans="1:40" x14ac:dyDescent="0.2">
      <c r="A77" s="4"/>
      <c r="S77" s="113"/>
      <c r="T77" s="4"/>
      <c r="U77" s="4"/>
      <c r="V77" s="4"/>
      <c r="W77" s="4"/>
      <c r="X77" s="4"/>
      <c r="Y77" s="4"/>
      <c r="Z77" s="4"/>
      <c r="AA77" s="4"/>
      <c r="AB77" s="4"/>
      <c r="AC77" s="4"/>
      <c r="AD77" s="4"/>
      <c r="AE77" s="4"/>
      <c r="AF77" s="4"/>
      <c r="AG77" s="4"/>
      <c r="AH77" s="4"/>
      <c r="AI77" s="4"/>
      <c r="AJ77" s="4"/>
      <c r="AK77" s="4"/>
      <c r="AL77" s="4"/>
      <c r="AM77" s="4"/>
      <c r="AN77" s="4"/>
    </row>
    <row r="78" spans="1:40" x14ac:dyDescent="0.2">
      <c r="A78" s="4"/>
      <c r="S78" s="113"/>
      <c r="T78" s="4"/>
      <c r="U78" s="4"/>
      <c r="V78" s="4"/>
      <c r="W78" s="4"/>
      <c r="X78" s="4"/>
      <c r="Y78" s="4"/>
      <c r="Z78" s="4"/>
      <c r="AA78" s="4"/>
      <c r="AB78" s="4"/>
      <c r="AC78" s="4"/>
      <c r="AD78" s="4"/>
      <c r="AE78" s="4"/>
      <c r="AF78" s="4"/>
      <c r="AG78" s="4"/>
      <c r="AH78" s="4"/>
      <c r="AI78" s="4"/>
      <c r="AJ78" s="4"/>
      <c r="AK78" s="4"/>
      <c r="AL78" s="4"/>
      <c r="AM78" s="4"/>
      <c r="AN78" s="4"/>
    </row>
    <row r="79" spans="1:40" x14ac:dyDescent="0.2">
      <c r="A79" s="4"/>
      <c r="S79" s="113"/>
      <c r="T79" s="4"/>
      <c r="U79" s="4"/>
      <c r="V79" s="4"/>
      <c r="W79" s="4"/>
      <c r="X79" s="4"/>
      <c r="Y79" s="4"/>
      <c r="Z79" s="4"/>
      <c r="AA79" s="4"/>
      <c r="AB79" s="4"/>
      <c r="AC79" s="4"/>
      <c r="AD79" s="4"/>
      <c r="AE79" s="4"/>
      <c r="AF79" s="4"/>
      <c r="AG79" s="4"/>
      <c r="AH79" s="4"/>
      <c r="AI79" s="4"/>
      <c r="AJ79" s="4"/>
      <c r="AK79" s="4"/>
      <c r="AL79" s="4"/>
      <c r="AM79" s="4"/>
      <c r="AN79" s="4"/>
    </row>
    <row r="80" spans="1:40" x14ac:dyDescent="0.2">
      <c r="A80" s="4"/>
      <c r="S80" s="113"/>
      <c r="T80" s="4"/>
      <c r="U80" s="4"/>
      <c r="V80" s="4"/>
      <c r="W80" s="4"/>
      <c r="X80" s="4"/>
      <c r="Y80" s="4"/>
      <c r="Z80" s="4"/>
      <c r="AA80" s="4"/>
      <c r="AB80" s="4"/>
      <c r="AC80" s="4"/>
      <c r="AD80" s="4"/>
      <c r="AE80" s="4"/>
      <c r="AF80" s="4"/>
      <c r="AG80" s="4"/>
      <c r="AH80" s="4"/>
      <c r="AI80" s="4"/>
      <c r="AJ80" s="4"/>
      <c r="AK80" s="4"/>
      <c r="AL80" s="4"/>
      <c r="AM80" s="4"/>
      <c r="AN80" s="4"/>
    </row>
    <row r="81" spans="1:40" x14ac:dyDescent="0.2">
      <c r="A81" s="4"/>
      <c r="S81" s="113"/>
      <c r="T81" s="4"/>
      <c r="U81" s="4"/>
      <c r="V81" s="4"/>
      <c r="W81" s="4"/>
      <c r="X81" s="4"/>
      <c r="Y81" s="4"/>
      <c r="Z81" s="4"/>
      <c r="AA81" s="4"/>
      <c r="AB81" s="4"/>
      <c r="AC81" s="4"/>
      <c r="AD81" s="4"/>
      <c r="AE81" s="4"/>
      <c r="AF81" s="4"/>
      <c r="AG81" s="4"/>
      <c r="AH81" s="4"/>
      <c r="AI81" s="4"/>
      <c r="AJ81" s="4"/>
      <c r="AK81" s="4"/>
      <c r="AL81" s="4"/>
      <c r="AM81" s="4"/>
      <c r="AN81" s="4"/>
    </row>
    <row r="82" spans="1:40" x14ac:dyDescent="0.2">
      <c r="A82" s="4"/>
      <c r="S82" s="113"/>
      <c r="T82" s="4"/>
      <c r="U82" s="4"/>
      <c r="V82" s="4"/>
      <c r="W82" s="4"/>
      <c r="X82" s="4"/>
      <c r="Y82" s="4"/>
      <c r="Z82" s="4"/>
      <c r="AA82" s="4"/>
      <c r="AB82" s="4"/>
      <c r="AC82" s="4"/>
      <c r="AD82" s="4"/>
      <c r="AE82" s="4"/>
      <c r="AF82" s="4"/>
      <c r="AG82" s="4"/>
      <c r="AH82" s="4"/>
      <c r="AI82" s="4"/>
      <c r="AJ82" s="4"/>
      <c r="AK82" s="4"/>
      <c r="AL82" s="4"/>
      <c r="AM82" s="4"/>
      <c r="AN82" s="4"/>
    </row>
    <row r="83" spans="1:40" x14ac:dyDescent="0.2">
      <c r="A83" s="4"/>
      <c r="S83" s="113"/>
      <c r="T83" s="4"/>
      <c r="U83" s="4"/>
      <c r="V83" s="4"/>
      <c r="W83" s="4"/>
      <c r="X83" s="4"/>
      <c r="Y83" s="4"/>
      <c r="Z83" s="4"/>
      <c r="AA83" s="4"/>
      <c r="AB83" s="4"/>
      <c r="AC83" s="4"/>
      <c r="AD83" s="4"/>
      <c r="AE83" s="4"/>
      <c r="AF83" s="4"/>
      <c r="AG83" s="4"/>
      <c r="AH83" s="4"/>
      <c r="AI83" s="4"/>
      <c r="AJ83" s="4"/>
      <c r="AK83" s="4"/>
      <c r="AL83" s="4"/>
      <c r="AM83" s="4"/>
      <c r="AN83" s="4"/>
    </row>
    <row r="84" spans="1:40" x14ac:dyDescent="0.2">
      <c r="A84" s="4"/>
      <c r="S84" s="113"/>
      <c r="T84" s="4"/>
      <c r="U84" s="4"/>
      <c r="V84" s="4"/>
      <c r="W84" s="4"/>
      <c r="X84" s="4"/>
      <c r="Y84" s="4"/>
      <c r="Z84" s="4"/>
      <c r="AA84" s="4"/>
      <c r="AB84" s="4"/>
      <c r="AC84" s="4"/>
      <c r="AD84" s="4"/>
      <c r="AE84" s="4"/>
      <c r="AF84" s="4"/>
      <c r="AG84" s="4"/>
      <c r="AH84" s="4"/>
      <c r="AI84" s="4"/>
      <c r="AJ84" s="4"/>
      <c r="AK84" s="4"/>
      <c r="AL84" s="4"/>
      <c r="AM84" s="4"/>
      <c r="AN84" s="4"/>
    </row>
    <row r="85" spans="1:40" x14ac:dyDescent="0.2">
      <c r="A85" s="4"/>
      <c r="S85" s="113"/>
      <c r="T85" s="4"/>
      <c r="U85" s="4"/>
      <c r="V85" s="4"/>
      <c r="W85" s="4"/>
      <c r="X85" s="4"/>
      <c r="Y85" s="4"/>
      <c r="Z85" s="4"/>
      <c r="AA85" s="4"/>
      <c r="AB85" s="4"/>
      <c r="AC85" s="4"/>
      <c r="AD85" s="4"/>
      <c r="AE85" s="4"/>
      <c r="AF85" s="4"/>
      <c r="AG85" s="4"/>
      <c r="AH85" s="4"/>
      <c r="AI85" s="4"/>
      <c r="AJ85" s="4"/>
      <c r="AK85" s="4"/>
      <c r="AL85" s="4"/>
      <c r="AM85" s="4"/>
      <c r="AN85" s="4"/>
    </row>
    <row r="86" spans="1:40" x14ac:dyDescent="0.2">
      <c r="A86" s="4"/>
      <c r="S86" s="113"/>
      <c r="T86" s="4"/>
      <c r="U86" s="4"/>
      <c r="V86" s="4"/>
      <c r="W86" s="4"/>
      <c r="X86" s="4"/>
      <c r="Y86" s="4"/>
      <c r="Z86" s="4"/>
      <c r="AA86" s="4"/>
      <c r="AB86" s="4"/>
      <c r="AC86" s="4"/>
      <c r="AD86" s="4"/>
      <c r="AE86" s="4"/>
      <c r="AF86" s="4"/>
      <c r="AG86" s="4"/>
      <c r="AH86" s="4"/>
      <c r="AI86" s="4"/>
      <c r="AJ86" s="4"/>
      <c r="AK86" s="4"/>
      <c r="AL86" s="4"/>
      <c r="AM86" s="4"/>
      <c r="AN86" s="4"/>
    </row>
    <row r="87" spans="1:40" x14ac:dyDescent="0.2">
      <c r="A87" s="4"/>
      <c r="S87" s="113"/>
      <c r="T87" s="4"/>
      <c r="U87" s="4"/>
      <c r="V87" s="4"/>
      <c r="W87" s="4"/>
      <c r="X87" s="4"/>
      <c r="Y87" s="4"/>
      <c r="Z87" s="4"/>
      <c r="AA87" s="4"/>
      <c r="AB87" s="4"/>
      <c r="AC87" s="4"/>
      <c r="AD87" s="4"/>
      <c r="AE87" s="4"/>
      <c r="AF87" s="4"/>
      <c r="AG87" s="4"/>
      <c r="AH87" s="4"/>
      <c r="AI87" s="4"/>
      <c r="AJ87" s="4"/>
      <c r="AK87" s="4"/>
      <c r="AL87" s="4"/>
      <c r="AM87" s="4"/>
      <c r="AN87" s="4"/>
    </row>
    <row r="88" spans="1:40" x14ac:dyDescent="0.2">
      <c r="A88" s="4"/>
      <c r="S88" s="113"/>
      <c r="T88" s="4"/>
      <c r="U88" s="4"/>
      <c r="V88" s="4"/>
      <c r="W88" s="4"/>
      <c r="X88" s="4"/>
      <c r="Y88" s="4"/>
      <c r="Z88" s="4"/>
      <c r="AA88" s="4"/>
      <c r="AB88" s="4"/>
      <c r="AC88" s="4"/>
      <c r="AD88" s="4"/>
      <c r="AE88" s="4"/>
      <c r="AF88" s="4"/>
      <c r="AG88" s="4"/>
      <c r="AH88" s="4"/>
      <c r="AI88" s="4"/>
      <c r="AJ88" s="4"/>
      <c r="AK88" s="4"/>
      <c r="AL88" s="4"/>
      <c r="AM88" s="4"/>
      <c r="AN88" s="4"/>
    </row>
    <row r="89" spans="1:40" x14ac:dyDescent="0.2">
      <c r="A89" s="4"/>
      <c r="S89" s="113"/>
      <c r="T89" s="4"/>
      <c r="U89" s="4"/>
      <c r="V89" s="4"/>
      <c r="W89" s="4"/>
      <c r="X89" s="4"/>
      <c r="Y89" s="4"/>
      <c r="Z89" s="4"/>
      <c r="AA89" s="4"/>
      <c r="AB89" s="4"/>
      <c r="AC89" s="4"/>
      <c r="AD89" s="4"/>
      <c r="AE89" s="4"/>
      <c r="AF89" s="4"/>
      <c r="AG89" s="4"/>
      <c r="AH89" s="4"/>
      <c r="AI89" s="4"/>
      <c r="AJ89" s="4"/>
      <c r="AK89" s="4"/>
      <c r="AL89" s="4"/>
      <c r="AM89" s="4"/>
      <c r="AN89" s="4"/>
    </row>
    <row r="90" spans="1:40" x14ac:dyDescent="0.2">
      <c r="A90" s="4"/>
      <c r="S90" s="113"/>
      <c r="T90" s="4"/>
      <c r="U90" s="4"/>
      <c r="V90" s="4"/>
      <c r="W90" s="4"/>
      <c r="X90" s="4"/>
      <c r="Y90" s="4"/>
      <c r="Z90" s="4"/>
      <c r="AA90" s="4"/>
      <c r="AB90" s="4"/>
      <c r="AC90" s="4"/>
      <c r="AD90" s="4"/>
      <c r="AE90" s="4"/>
      <c r="AF90" s="4"/>
      <c r="AG90" s="4"/>
      <c r="AH90" s="4"/>
      <c r="AI90" s="4"/>
      <c r="AJ90" s="4"/>
      <c r="AK90" s="4"/>
      <c r="AL90" s="4"/>
      <c r="AM90" s="4"/>
      <c r="AN90" s="4"/>
    </row>
    <row r="91" spans="1:40" x14ac:dyDescent="0.2">
      <c r="A91" s="4"/>
      <c r="S91" s="113"/>
      <c r="T91" s="4"/>
      <c r="U91" s="4"/>
      <c r="V91" s="4"/>
      <c r="W91" s="4"/>
      <c r="X91" s="4"/>
      <c r="Y91" s="4"/>
      <c r="Z91" s="4"/>
      <c r="AA91" s="4"/>
      <c r="AB91" s="4"/>
      <c r="AC91" s="4"/>
      <c r="AD91" s="4"/>
      <c r="AE91" s="4"/>
      <c r="AF91" s="4"/>
      <c r="AG91" s="4"/>
      <c r="AH91" s="4"/>
      <c r="AI91" s="4"/>
      <c r="AJ91" s="4"/>
      <c r="AK91" s="4"/>
      <c r="AL91" s="4"/>
      <c r="AM91" s="4"/>
      <c r="AN91" s="4"/>
    </row>
    <row r="92" spans="1:40" x14ac:dyDescent="0.2">
      <c r="A92" s="4"/>
      <c r="S92" s="113"/>
      <c r="T92" s="4"/>
      <c r="U92" s="4"/>
      <c r="V92" s="4"/>
      <c r="W92" s="4"/>
      <c r="X92" s="4"/>
      <c r="Y92" s="4"/>
      <c r="Z92" s="4"/>
      <c r="AA92" s="4"/>
      <c r="AB92" s="4"/>
      <c r="AC92" s="4"/>
      <c r="AD92" s="4"/>
      <c r="AE92" s="4"/>
      <c r="AF92" s="4"/>
      <c r="AG92" s="4"/>
      <c r="AH92" s="4"/>
      <c r="AI92" s="4"/>
      <c r="AJ92" s="4"/>
      <c r="AK92" s="4"/>
      <c r="AL92" s="4"/>
      <c r="AM92" s="4"/>
      <c r="AN92" s="4"/>
    </row>
    <row r="93" spans="1:40" x14ac:dyDescent="0.2">
      <c r="A93" s="4"/>
      <c r="S93" s="113"/>
      <c r="T93" s="4"/>
      <c r="U93" s="4"/>
      <c r="V93" s="4"/>
      <c r="W93" s="4"/>
      <c r="X93" s="4"/>
      <c r="Y93" s="4"/>
      <c r="Z93" s="4"/>
      <c r="AA93" s="4"/>
      <c r="AB93" s="4"/>
      <c r="AC93" s="4"/>
      <c r="AD93" s="4"/>
      <c r="AE93" s="4"/>
      <c r="AF93" s="4"/>
      <c r="AG93" s="4"/>
      <c r="AH93" s="4"/>
      <c r="AI93" s="4"/>
      <c r="AJ93" s="4"/>
      <c r="AK93" s="4"/>
      <c r="AL93" s="4"/>
      <c r="AM93" s="4"/>
      <c r="AN93" s="4"/>
    </row>
    <row r="94" spans="1:40" x14ac:dyDescent="0.2">
      <c r="A94" s="4"/>
      <c r="S94" s="113"/>
      <c r="T94" s="4"/>
      <c r="U94" s="4"/>
      <c r="V94" s="4"/>
      <c r="W94" s="4"/>
      <c r="X94" s="4"/>
      <c r="Y94" s="4"/>
      <c r="Z94" s="4"/>
      <c r="AA94" s="4"/>
      <c r="AB94" s="4"/>
      <c r="AC94" s="4"/>
      <c r="AD94" s="4"/>
      <c r="AE94" s="4"/>
      <c r="AF94" s="4"/>
      <c r="AG94" s="4"/>
      <c r="AH94" s="4"/>
      <c r="AI94" s="4"/>
      <c r="AJ94" s="4"/>
      <c r="AK94" s="4"/>
      <c r="AL94" s="4"/>
      <c r="AM94" s="4"/>
      <c r="AN94" s="4"/>
    </row>
    <row r="95" spans="1:40" x14ac:dyDescent="0.2">
      <c r="A95" s="4"/>
      <c r="S95" s="113"/>
      <c r="T95" s="4"/>
      <c r="U95" s="4"/>
      <c r="V95" s="4"/>
      <c r="W95" s="4"/>
      <c r="X95" s="4"/>
      <c r="Y95" s="4"/>
      <c r="Z95" s="4"/>
      <c r="AA95" s="4"/>
      <c r="AB95" s="4"/>
      <c r="AC95" s="4"/>
      <c r="AD95" s="4"/>
      <c r="AE95" s="4"/>
      <c r="AF95" s="4"/>
      <c r="AG95" s="4"/>
      <c r="AH95" s="4"/>
      <c r="AI95" s="4"/>
      <c r="AJ95" s="4"/>
      <c r="AK95" s="4"/>
      <c r="AL95" s="4"/>
      <c r="AM95" s="4"/>
      <c r="AN95" s="4"/>
    </row>
    <row r="96" spans="1:40" x14ac:dyDescent="0.2">
      <c r="A96" s="4"/>
      <c r="S96" s="113"/>
      <c r="T96" s="4"/>
      <c r="U96" s="4"/>
      <c r="V96" s="4"/>
      <c r="W96" s="4"/>
      <c r="X96" s="4"/>
      <c r="Y96" s="4"/>
      <c r="Z96" s="4"/>
      <c r="AA96" s="4"/>
      <c r="AB96" s="4"/>
      <c r="AC96" s="4"/>
      <c r="AD96" s="4"/>
      <c r="AE96" s="4"/>
      <c r="AF96" s="4"/>
      <c r="AG96" s="4"/>
      <c r="AH96" s="4"/>
      <c r="AI96" s="4"/>
      <c r="AJ96" s="4"/>
      <c r="AK96" s="4"/>
      <c r="AL96" s="4"/>
      <c r="AM96" s="4"/>
      <c r="AN96" s="4"/>
    </row>
    <row r="97" spans="1:40" x14ac:dyDescent="0.2">
      <c r="A97" s="4"/>
      <c r="S97" s="113"/>
      <c r="T97" s="4"/>
      <c r="U97" s="4"/>
      <c r="V97" s="4"/>
      <c r="W97" s="4"/>
      <c r="X97" s="4"/>
      <c r="Y97" s="4"/>
      <c r="Z97" s="4"/>
      <c r="AA97" s="4"/>
      <c r="AB97" s="4"/>
      <c r="AC97" s="4"/>
      <c r="AD97" s="4"/>
      <c r="AE97" s="4"/>
      <c r="AF97" s="4"/>
      <c r="AG97" s="4"/>
      <c r="AH97" s="4"/>
      <c r="AI97" s="4"/>
      <c r="AJ97" s="4"/>
      <c r="AK97" s="4"/>
      <c r="AL97" s="4"/>
      <c r="AM97" s="4"/>
      <c r="AN97" s="4"/>
    </row>
    <row r="98" spans="1:40" x14ac:dyDescent="0.2">
      <c r="A98" s="4"/>
      <c r="S98" s="113"/>
      <c r="T98" s="4"/>
      <c r="U98" s="4"/>
      <c r="V98" s="4"/>
      <c r="W98" s="4"/>
      <c r="X98" s="4"/>
      <c r="Y98" s="4"/>
      <c r="Z98" s="4"/>
      <c r="AA98" s="4"/>
      <c r="AB98" s="4"/>
      <c r="AC98" s="4"/>
      <c r="AD98" s="4"/>
      <c r="AE98" s="4"/>
      <c r="AF98" s="4"/>
      <c r="AG98" s="4"/>
      <c r="AH98" s="4"/>
      <c r="AI98" s="4"/>
      <c r="AJ98" s="4"/>
      <c r="AK98" s="4"/>
      <c r="AL98" s="4"/>
      <c r="AM98" s="4"/>
      <c r="AN98" s="4"/>
    </row>
    <row r="99" spans="1:40" x14ac:dyDescent="0.2">
      <c r="A99" s="4"/>
      <c r="S99" s="113"/>
      <c r="T99" s="4"/>
      <c r="U99" s="4"/>
      <c r="V99" s="4"/>
      <c r="W99" s="4"/>
      <c r="X99" s="4"/>
      <c r="Y99" s="4"/>
      <c r="Z99" s="4"/>
      <c r="AA99" s="4"/>
      <c r="AB99" s="4"/>
      <c r="AC99" s="4"/>
      <c r="AD99" s="4"/>
      <c r="AE99" s="4"/>
      <c r="AF99" s="4"/>
      <c r="AG99" s="4"/>
      <c r="AH99" s="4"/>
      <c r="AI99" s="4"/>
      <c r="AJ99" s="4"/>
      <c r="AK99" s="4"/>
      <c r="AL99" s="4"/>
      <c r="AM99" s="4"/>
      <c r="AN99" s="4"/>
    </row>
    <row r="100" spans="1:40" x14ac:dyDescent="0.2">
      <c r="A100" s="4"/>
      <c r="S100" s="113"/>
      <c r="T100" s="4"/>
      <c r="U100" s="4"/>
      <c r="V100" s="4"/>
      <c r="W100" s="4"/>
      <c r="X100" s="4"/>
      <c r="Y100" s="4"/>
      <c r="Z100" s="4"/>
      <c r="AA100" s="4"/>
      <c r="AB100" s="4"/>
      <c r="AC100" s="4"/>
      <c r="AD100" s="4"/>
      <c r="AE100" s="4"/>
      <c r="AF100" s="4"/>
      <c r="AG100" s="4"/>
      <c r="AH100" s="4"/>
      <c r="AI100" s="4"/>
      <c r="AJ100" s="4"/>
      <c r="AK100" s="4"/>
      <c r="AL100" s="4"/>
      <c r="AM100" s="4"/>
      <c r="AN100" s="4"/>
    </row>
    <row r="101" spans="1:40" x14ac:dyDescent="0.2">
      <c r="A101" s="4"/>
      <c r="S101" s="113"/>
      <c r="T101" s="4"/>
      <c r="U101" s="4"/>
      <c r="V101" s="4"/>
      <c r="W101" s="4"/>
      <c r="X101" s="4"/>
      <c r="Y101" s="4"/>
      <c r="Z101" s="4"/>
      <c r="AA101" s="4"/>
      <c r="AB101" s="4"/>
      <c r="AC101" s="4"/>
      <c r="AD101" s="4"/>
      <c r="AE101" s="4"/>
      <c r="AF101" s="4"/>
      <c r="AG101" s="4"/>
      <c r="AH101" s="4"/>
      <c r="AI101" s="4"/>
      <c r="AJ101" s="4"/>
      <c r="AK101" s="4"/>
      <c r="AL101" s="4"/>
      <c r="AM101" s="4"/>
      <c r="AN101" s="4"/>
    </row>
    <row r="102" spans="1:40" x14ac:dyDescent="0.2">
      <c r="A102" s="4"/>
      <c r="S102" s="113"/>
      <c r="T102" s="4"/>
      <c r="U102" s="4"/>
      <c r="V102" s="4"/>
      <c r="W102" s="4"/>
      <c r="X102" s="4"/>
      <c r="Y102" s="4"/>
      <c r="Z102" s="4"/>
      <c r="AA102" s="4"/>
      <c r="AB102" s="4"/>
      <c r="AC102" s="4"/>
      <c r="AD102" s="4"/>
      <c r="AE102" s="4"/>
      <c r="AF102" s="4"/>
      <c r="AG102" s="4"/>
      <c r="AH102" s="4"/>
      <c r="AI102" s="4"/>
      <c r="AJ102" s="4"/>
      <c r="AK102" s="4"/>
      <c r="AL102" s="4"/>
      <c r="AM102" s="4"/>
      <c r="AN102" s="4"/>
    </row>
    <row r="103" spans="1:40" x14ac:dyDescent="0.2">
      <c r="A103" s="4"/>
      <c r="S103" s="113"/>
      <c r="T103" s="4"/>
      <c r="U103" s="4"/>
      <c r="V103" s="4"/>
      <c r="W103" s="4"/>
      <c r="X103" s="4"/>
      <c r="Y103" s="4"/>
      <c r="Z103" s="4"/>
      <c r="AA103" s="4"/>
      <c r="AB103" s="4"/>
      <c r="AC103" s="4"/>
      <c r="AD103" s="4"/>
      <c r="AE103" s="4"/>
      <c r="AF103" s="4"/>
      <c r="AG103" s="4"/>
      <c r="AH103" s="4"/>
      <c r="AI103" s="4"/>
      <c r="AJ103" s="4"/>
      <c r="AK103" s="4"/>
      <c r="AL103" s="4"/>
      <c r="AM103" s="4"/>
      <c r="AN103" s="4"/>
    </row>
    <row r="104" spans="1:40" x14ac:dyDescent="0.2">
      <c r="A104" s="4"/>
      <c r="S104" s="113"/>
      <c r="T104" s="4"/>
      <c r="U104" s="4"/>
      <c r="V104" s="4"/>
      <c r="W104" s="4"/>
      <c r="X104" s="4"/>
      <c r="Y104" s="4"/>
      <c r="Z104" s="4"/>
      <c r="AA104" s="4"/>
      <c r="AB104" s="4"/>
      <c r="AC104" s="4"/>
      <c r="AD104" s="4"/>
      <c r="AE104" s="4"/>
      <c r="AF104" s="4"/>
      <c r="AG104" s="4"/>
      <c r="AH104" s="4"/>
      <c r="AI104" s="4"/>
      <c r="AJ104" s="4"/>
      <c r="AK104" s="4"/>
      <c r="AL104" s="4"/>
      <c r="AM104" s="4"/>
      <c r="AN104" s="4"/>
    </row>
    <row r="105" spans="1:40" x14ac:dyDescent="0.2">
      <c r="A105" s="4"/>
      <c r="S105" s="113"/>
      <c r="T105" s="4"/>
      <c r="U105" s="4"/>
      <c r="V105" s="4"/>
      <c r="W105" s="4"/>
      <c r="X105" s="4"/>
      <c r="Y105" s="4"/>
      <c r="Z105" s="4"/>
      <c r="AA105" s="4"/>
      <c r="AB105" s="4"/>
      <c r="AC105" s="4"/>
      <c r="AD105" s="4"/>
      <c r="AE105" s="4"/>
      <c r="AF105" s="4"/>
      <c r="AG105" s="4"/>
      <c r="AH105" s="4"/>
      <c r="AI105" s="4"/>
      <c r="AJ105" s="4"/>
      <c r="AK105" s="4"/>
      <c r="AL105" s="4"/>
      <c r="AM105" s="4"/>
      <c r="AN105" s="4"/>
    </row>
    <row r="106" spans="1:40" x14ac:dyDescent="0.2">
      <c r="A106" s="4"/>
      <c r="S106" s="113"/>
      <c r="T106" s="4"/>
      <c r="U106" s="4"/>
      <c r="V106" s="4"/>
      <c r="W106" s="4"/>
      <c r="X106" s="4"/>
      <c r="Y106" s="4"/>
      <c r="Z106" s="4"/>
      <c r="AA106" s="4"/>
      <c r="AB106" s="4"/>
      <c r="AC106" s="4"/>
      <c r="AD106" s="4"/>
      <c r="AE106" s="4"/>
      <c r="AF106" s="4"/>
      <c r="AG106" s="4"/>
      <c r="AH106" s="4"/>
      <c r="AI106" s="4"/>
      <c r="AJ106" s="4"/>
      <c r="AK106" s="4"/>
      <c r="AL106" s="4"/>
      <c r="AM106" s="4"/>
      <c r="AN106" s="4"/>
    </row>
    <row r="107" spans="1:40" x14ac:dyDescent="0.2">
      <c r="A107" s="4"/>
      <c r="S107" s="113"/>
      <c r="T107" s="4"/>
      <c r="U107" s="4"/>
      <c r="V107" s="4"/>
      <c r="W107" s="4"/>
      <c r="X107" s="4"/>
      <c r="Y107" s="4"/>
      <c r="Z107" s="4"/>
      <c r="AA107" s="4"/>
      <c r="AB107" s="4"/>
      <c r="AC107" s="4"/>
      <c r="AD107" s="4"/>
      <c r="AE107" s="4"/>
      <c r="AF107" s="4"/>
      <c r="AG107" s="4"/>
      <c r="AH107" s="4"/>
      <c r="AI107" s="4"/>
      <c r="AJ107" s="4"/>
      <c r="AK107" s="4"/>
      <c r="AL107" s="4"/>
      <c r="AM107" s="4"/>
      <c r="AN107" s="4"/>
    </row>
    <row r="108" spans="1:40" x14ac:dyDescent="0.2">
      <c r="A108" s="4"/>
      <c r="S108" s="113"/>
      <c r="T108" s="4"/>
      <c r="U108" s="4"/>
      <c r="V108" s="4"/>
      <c r="W108" s="4"/>
      <c r="X108" s="4"/>
      <c r="Y108" s="4"/>
      <c r="Z108" s="4"/>
      <c r="AA108" s="4"/>
      <c r="AB108" s="4"/>
      <c r="AC108" s="4"/>
      <c r="AD108" s="4"/>
      <c r="AE108" s="4"/>
      <c r="AF108" s="4"/>
      <c r="AG108" s="4"/>
      <c r="AH108" s="4"/>
      <c r="AI108" s="4"/>
      <c r="AJ108" s="4"/>
      <c r="AK108" s="4"/>
      <c r="AL108" s="4"/>
      <c r="AM108" s="4"/>
      <c r="AN108" s="4"/>
    </row>
    <row r="109" spans="1:40" x14ac:dyDescent="0.2">
      <c r="A109" s="4"/>
      <c r="S109" s="113"/>
      <c r="T109" s="4"/>
      <c r="U109" s="4"/>
      <c r="V109" s="4"/>
      <c r="W109" s="4"/>
      <c r="X109" s="4"/>
      <c r="Y109" s="4"/>
      <c r="Z109" s="4"/>
      <c r="AA109" s="4"/>
      <c r="AB109" s="4"/>
      <c r="AC109" s="4"/>
      <c r="AD109" s="4"/>
      <c r="AE109" s="4"/>
      <c r="AF109" s="4"/>
      <c r="AG109" s="4"/>
      <c r="AH109" s="4"/>
      <c r="AI109" s="4"/>
      <c r="AJ109" s="4"/>
      <c r="AK109" s="4"/>
      <c r="AL109" s="4"/>
      <c r="AM109" s="4"/>
      <c r="AN109" s="4"/>
    </row>
    <row r="110" spans="1:40" x14ac:dyDescent="0.2">
      <c r="A110" s="4"/>
      <c r="S110" s="113"/>
      <c r="T110" s="4"/>
      <c r="U110" s="4"/>
      <c r="V110" s="4"/>
      <c r="W110" s="4"/>
      <c r="X110" s="4"/>
      <c r="Y110" s="4"/>
      <c r="Z110" s="4"/>
      <c r="AA110" s="4"/>
      <c r="AB110" s="4"/>
      <c r="AC110" s="4"/>
      <c r="AD110" s="4"/>
      <c r="AE110" s="4"/>
      <c r="AF110" s="4"/>
      <c r="AG110" s="4"/>
      <c r="AH110" s="4"/>
      <c r="AI110" s="4"/>
      <c r="AJ110" s="4"/>
      <c r="AK110" s="4"/>
      <c r="AL110" s="4"/>
      <c r="AM110" s="4"/>
      <c r="AN110" s="4"/>
    </row>
    <row r="111" spans="1:40" x14ac:dyDescent="0.2">
      <c r="A111" s="4"/>
      <c r="S111" s="113"/>
      <c r="T111" s="4"/>
      <c r="U111" s="4"/>
      <c r="V111" s="4"/>
      <c r="W111" s="4"/>
      <c r="X111" s="4"/>
      <c r="Y111" s="4"/>
      <c r="Z111" s="4"/>
      <c r="AA111" s="4"/>
      <c r="AB111" s="4"/>
      <c r="AC111" s="4"/>
      <c r="AD111" s="4"/>
      <c r="AE111" s="4"/>
      <c r="AF111" s="4"/>
      <c r="AG111" s="4"/>
      <c r="AH111" s="4"/>
      <c r="AI111" s="4"/>
      <c r="AJ111" s="4"/>
      <c r="AK111" s="4"/>
      <c r="AL111" s="4"/>
      <c r="AM111" s="4"/>
      <c r="AN111" s="4"/>
    </row>
    <row r="112" spans="1:40" x14ac:dyDescent="0.2">
      <c r="A112" s="4"/>
      <c r="S112" s="113"/>
      <c r="T112" s="4"/>
      <c r="U112" s="4"/>
      <c r="V112" s="4"/>
      <c r="W112" s="4"/>
      <c r="X112" s="4"/>
      <c r="Y112" s="4"/>
      <c r="Z112" s="4"/>
      <c r="AA112" s="4"/>
      <c r="AB112" s="4"/>
      <c r="AC112" s="4"/>
      <c r="AD112" s="4"/>
      <c r="AE112" s="4"/>
      <c r="AF112" s="4"/>
      <c r="AG112" s="4"/>
      <c r="AH112" s="4"/>
      <c r="AI112" s="4"/>
      <c r="AJ112" s="4"/>
      <c r="AK112" s="4"/>
      <c r="AL112" s="4"/>
      <c r="AM112" s="4"/>
      <c r="AN112" s="4"/>
    </row>
    <row r="113" spans="1:40" x14ac:dyDescent="0.2">
      <c r="A113" s="4"/>
      <c r="S113" s="113"/>
      <c r="T113" s="4"/>
      <c r="U113" s="4"/>
      <c r="V113" s="4"/>
      <c r="W113" s="4"/>
      <c r="X113" s="4"/>
      <c r="Y113" s="4"/>
      <c r="Z113" s="4"/>
      <c r="AA113" s="4"/>
      <c r="AB113" s="4"/>
      <c r="AC113" s="4"/>
      <c r="AD113" s="4"/>
      <c r="AE113" s="4"/>
      <c r="AF113" s="4"/>
      <c r="AG113" s="4"/>
      <c r="AH113" s="4"/>
      <c r="AI113" s="4"/>
      <c r="AJ113" s="4"/>
      <c r="AK113" s="4"/>
      <c r="AL113" s="4"/>
      <c r="AM113" s="4"/>
      <c r="AN113" s="4"/>
    </row>
    <row r="114" spans="1:40" x14ac:dyDescent="0.2">
      <c r="A114" s="4"/>
      <c r="S114" s="113"/>
      <c r="T114" s="4"/>
      <c r="U114" s="4"/>
      <c r="V114" s="4"/>
      <c r="W114" s="4"/>
      <c r="X114" s="4"/>
      <c r="Y114" s="4"/>
      <c r="Z114" s="4"/>
      <c r="AA114" s="4"/>
      <c r="AB114" s="4"/>
      <c r="AC114" s="4"/>
      <c r="AD114" s="4"/>
      <c r="AE114" s="4"/>
      <c r="AF114" s="4"/>
      <c r="AG114" s="4"/>
      <c r="AH114" s="4"/>
      <c r="AI114" s="4"/>
      <c r="AJ114" s="4"/>
      <c r="AK114" s="4"/>
      <c r="AL114" s="4"/>
      <c r="AM114" s="4"/>
      <c r="AN114" s="4"/>
    </row>
    <row r="115" spans="1:40" x14ac:dyDescent="0.2">
      <c r="A115" s="4"/>
      <c r="S115" s="113"/>
      <c r="T115" s="4"/>
      <c r="U115" s="4"/>
      <c r="V115" s="4"/>
      <c r="W115" s="4"/>
      <c r="X115" s="4"/>
      <c r="Y115" s="4"/>
      <c r="Z115" s="4"/>
      <c r="AA115" s="4"/>
      <c r="AB115" s="4"/>
      <c r="AC115" s="4"/>
      <c r="AD115" s="4"/>
      <c r="AE115" s="4"/>
      <c r="AF115" s="4"/>
      <c r="AG115" s="4"/>
      <c r="AH115" s="4"/>
      <c r="AI115" s="4"/>
      <c r="AJ115" s="4"/>
      <c r="AK115" s="4"/>
      <c r="AL115" s="4"/>
      <c r="AM115" s="4"/>
      <c r="AN115" s="4"/>
    </row>
    <row r="116" spans="1:40" x14ac:dyDescent="0.2">
      <c r="A116" s="4"/>
      <c r="S116" s="113"/>
      <c r="T116" s="4"/>
      <c r="U116" s="4"/>
      <c r="V116" s="4"/>
      <c r="W116" s="4"/>
      <c r="X116" s="4"/>
      <c r="Y116" s="4"/>
      <c r="Z116" s="4"/>
      <c r="AA116" s="4"/>
      <c r="AB116" s="4"/>
      <c r="AC116" s="4"/>
      <c r="AD116" s="4"/>
      <c r="AE116" s="4"/>
      <c r="AF116" s="4"/>
      <c r="AG116" s="4"/>
      <c r="AH116" s="4"/>
      <c r="AI116" s="4"/>
      <c r="AJ116" s="4"/>
      <c r="AK116" s="4"/>
      <c r="AL116" s="4"/>
      <c r="AM116" s="4"/>
      <c r="AN116" s="4"/>
    </row>
    <row r="117" spans="1:40" x14ac:dyDescent="0.2">
      <c r="A117" s="4"/>
      <c r="S117" s="113"/>
      <c r="T117" s="4"/>
      <c r="U117" s="4"/>
      <c r="V117" s="4"/>
      <c r="W117" s="4"/>
      <c r="X117" s="4"/>
      <c r="Y117" s="4"/>
      <c r="Z117" s="4"/>
      <c r="AA117" s="4"/>
      <c r="AB117" s="4"/>
      <c r="AC117" s="4"/>
      <c r="AD117" s="4"/>
      <c r="AE117" s="4"/>
      <c r="AF117" s="4"/>
      <c r="AG117" s="4"/>
      <c r="AH117" s="4"/>
      <c r="AI117" s="4"/>
      <c r="AJ117" s="4"/>
      <c r="AK117" s="4"/>
      <c r="AL117" s="4"/>
      <c r="AM117" s="4"/>
      <c r="AN117" s="4"/>
    </row>
    <row r="118" spans="1:40" x14ac:dyDescent="0.2">
      <c r="A118" s="4"/>
      <c r="S118" s="113"/>
      <c r="T118" s="4"/>
      <c r="U118" s="4"/>
      <c r="V118" s="4"/>
      <c r="W118" s="4"/>
      <c r="X118" s="4"/>
      <c r="Y118" s="4"/>
      <c r="Z118" s="4"/>
      <c r="AA118" s="4"/>
      <c r="AB118" s="4"/>
      <c r="AC118" s="4"/>
      <c r="AD118" s="4"/>
      <c r="AE118" s="4"/>
      <c r="AF118" s="4"/>
      <c r="AG118" s="4"/>
      <c r="AH118" s="4"/>
      <c r="AI118" s="4"/>
      <c r="AJ118" s="4"/>
      <c r="AK118" s="4"/>
      <c r="AL118" s="4"/>
      <c r="AM118" s="4"/>
      <c r="AN118" s="4"/>
    </row>
    <row r="119" spans="1:40" x14ac:dyDescent="0.2">
      <c r="A119" s="4"/>
      <c r="S119" s="113"/>
      <c r="T119" s="4"/>
      <c r="U119" s="4"/>
      <c r="V119" s="4"/>
      <c r="W119" s="4"/>
      <c r="X119" s="4"/>
      <c r="Y119" s="4"/>
      <c r="Z119" s="4"/>
      <c r="AA119" s="4"/>
      <c r="AB119" s="4"/>
      <c r="AC119" s="4"/>
      <c r="AD119" s="4"/>
      <c r="AE119" s="4"/>
      <c r="AF119" s="4"/>
      <c r="AG119" s="4"/>
      <c r="AH119" s="4"/>
      <c r="AI119" s="4"/>
      <c r="AJ119" s="4"/>
      <c r="AK119" s="4"/>
      <c r="AL119" s="4"/>
      <c r="AM119" s="4"/>
      <c r="AN119" s="4"/>
    </row>
    <row r="120" spans="1:40" x14ac:dyDescent="0.2">
      <c r="A120" s="4"/>
      <c r="S120" s="113"/>
      <c r="T120" s="4"/>
      <c r="U120" s="4"/>
      <c r="V120" s="4"/>
      <c r="W120" s="4"/>
      <c r="X120" s="4"/>
      <c r="Y120" s="4"/>
      <c r="Z120" s="4"/>
      <c r="AA120" s="4"/>
      <c r="AB120" s="4"/>
      <c r="AC120" s="4"/>
      <c r="AD120" s="4"/>
      <c r="AE120" s="4"/>
      <c r="AF120" s="4"/>
      <c r="AG120" s="4"/>
      <c r="AH120" s="4"/>
      <c r="AI120" s="4"/>
      <c r="AJ120" s="4"/>
      <c r="AK120" s="4"/>
      <c r="AL120" s="4"/>
      <c r="AM120" s="4"/>
      <c r="AN120" s="4"/>
    </row>
    <row r="121" spans="1:40" x14ac:dyDescent="0.2">
      <c r="A121" s="4"/>
      <c r="S121" s="113"/>
      <c r="T121" s="4"/>
      <c r="U121" s="4"/>
      <c r="V121" s="4"/>
      <c r="W121" s="4"/>
      <c r="X121" s="4"/>
      <c r="Y121" s="4"/>
      <c r="Z121" s="4"/>
      <c r="AA121" s="4"/>
      <c r="AB121" s="4"/>
      <c r="AC121" s="4"/>
      <c r="AD121" s="4"/>
      <c r="AE121" s="4"/>
      <c r="AF121" s="4"/>
      <c r="AG121" s="4"/>
      <c r="AH121" s="4"/>
      <c r="AI121" s="4"/>
      <c r="AJ121" s="4"/>
      <c r="AK121" s="4"/>
      <c r="AL121" s="4"/>
      <c r="AM121" s="4"/>
      <c r="AN121" s="4"/>
    </row>
    <row r="122" spans="1:40" x14ac:dyDescent="0.2">
      <c r="A122" s="4"/>
      <c r="S122" s="113"/>
      <c r="T122" s="4"/>
      <c r="U122" s="4"/>
      <c r="V122" s="4"/>
      <c r="W122" s="4"/>
      <c r="X122" s="4"/>
      <c r="Y122" s="4"/>
      <c r="Z122" s="4"/>
      <c r="AA122" s="4"/>
      <c r="AB122" s="4"/>
      <c r="AC122" s="4"/>
      <c r="AD122" s="4"/>
      <c r="AE122" s="4"/>
      <c r="AF122" s="4"/>
      <c r="AG122" s="4"/>
      <c r="AH122" s="4"/>
      <c r="AI122" s="4"/>
      <c r="AJ122" s="4"/>
      <c r="AK122" s="4"/>
      <c r="AL122" s="4"/>
      <c r="AM122" s="4"/>
      <c r="AN122" s="4"/>
    </row>
    <row r="123" spans="1:40" x14ac:dyDescent="0.2">
      <c r="A123" s="4"/>
      <c r="S123" s="113"/>
      <c r="T123" s="4"/>
      <c r="U123" s="4"/>
      <c r="V123" s="4"/>
      <c r="W123" s="4"/>
      <c r="X123" s="4"/>
      <c r="Y123" s="4"/>
      <c r="Z123" s="4"/>
      <c r="AA123" s="4"/>
      <c r="AB123" s="4"/>
      <c r="AC123" s="4"/>
      <c r="AD123" s="4"/>
      <c r="AE123" s="4"/>
      <c r="AF123" s="4"/>
      <c r="AG123" s="4"/>
      <c r="AH123" s="4"/>
      <c r="AI123" s="4"/>
      <c r="AJ123" s="4"/>
      <c r="AK123" s="4"/>
      <c r="AL123" s="4"/>
      <c r="AM123" s="4"/>
      <c r="AN123" s="4"/>
    </row>
    <row r="124" spans="1:40" x14ac:dyDescent="0.2">
      <c r="A124" s="4"/>
      <c r="S124" s="113"/>
      <c r="T124" s="4"/>
      <c r="U124" s="4"/>
      <c r="V124" s="4"/>
      <c r="W124" s="4"/>
      <c r="X124" s="4"/>
      <c r="Y124" s="4"/>
      <c r="Z124" s="4"/>
      <c r="AA124" s="4"/>
      <c r="AB124" s="4"/>
      <c r="AC124" s="4"/>
      <c r="AD124" s="4"/>
      <c r="AE124" s="4"/>
      <c r="AF124" s="4"/>
      <c r="AG124" s="4"/>
      <c r="AH124" s="4"/>
      <c r="AI124" s="4"/>
      <c r="AJ124" s="4"/>
      <c r="AK124" s="4"/>
      <c r="AL124" s="4"/>
      <c r="AM124" s="4"/>
      <c r="AN124" s="4"/>
    </row>
    <row r="125" spans="1:40" x14ac:dyDescent="0.2">
      <c r="A125" s="4"/>
      <c r="S125" s="113"/>
      <c r="T125" s="4"/>
      <c r="U125" s="4"/>
      <c r="V125" s="4"/>
      <c r="W125" s="4"/>
      <c r="X125" s="4"/>
      <c r="Y125" s="4"/>
      <c r="Z125" s="4"/>
      <c r="AA125" s="4"/>
      <c r="AB125" s="4"/>
      <c r="AC125" s="4"/>
      <c r="AD125" s="4"/>
      <c r="AE125" s="4"/>
      <c r="AF125" s="4"/>
      <c r="AG125" s="4"/>
      <c r="AH125" s="4"/>
      <c r="AI125" s="4"/>
      <c r="AJ125" s="4"/>
      <c r="AK125" s="4"/>
      <c r="AL125" s="4"/>
      <c r="AM125" s="4"/>
      <c r="AN125" s="4"/>
    </row>
    <row r="126" spans="1:40" x14ac:dyDescent="0.2">
      <c r="A126" s="4"/>
      <c r="S126" s="113"/>
      <c r="T126" s="4"/>
      <c r="U126" s="4"/>
      <c r="V126" s="4"/>
      <c r="W126" s="4"/>
      <c r="X126" s="4"/>
      <c r="Y126" s="4"/>
      <c r="Z126" s="4"/>
      <c r="AA126" s="4"/>
      <c r="AB126" s="4"/>
      <c r="AC126" s="4"/>
      <c r="AD126" s="4"/>
      <c r="AE126" s="4"/>
      <c r="AF126" s="4"/>
      <c r="AG126" s="4"/>
      <c r="AH126" s="4"/>
      <c r="AI126" s="4"/>
      <c r="AJ126" s="4"/>
      <c r="AK126" s="4"/>
      <c r="AL126" s="4"/>
      <c r="AM126" s="4"/>
      <c r="AN126" s="4"/>
    </row>
    <row r="127" spans="1:40" x14ac:dyDescent="0.2">
      <c r="A127" s="4"/>
      <c r="S127" s="113"/>
      <c r="T127" s="4"/>
      <c r="U127" s="4"/>
      <c r="V127" s="4"/>
      <c r="W127" s="4"/>
      <c r="X127" s="4"/>
      <c r="Y127" s="4"/>
      <c r="Z127" s="4"/>
      <c r="AA127" s="4"/>
      <c r="AB127" s="4"/>
      <c r="AC127" s="4"/>
      <c r="AD127" s="4"/>
      <c r="AE127" s="4"/>
      <c r="AF127" s="4"/>
      <c r="AG127" s="4"/>
      <c r="AH127" s="4"/>
      <c r="AI127" s="4"/>
      <c r="AJ127" s="4"/>
      <c r="AK127" s="4"/>
      <c r="AL127" s="4"/>
      <c r="AM127" s="4"/>
      <c r="AN127" s="4"/>
    </row>
    <row r="128" spans="1:40" x14ac:dyDescent="0.2">
      <c r="A128" s="4"/>
      <c r="S128" s="113"/>
      <c r="T128" s="4"/>
      <c r="U128" s="4"/>
      <c r="V128" s="4"/>
      <c r="W128" s="4"/>
      <c r="X128" s="4"/>
      <c r="Y128" s="4"/>
      <c r="Z128" s="4"/>
      <c r="AA128" s="4"/>
      <c r="AB128" s="4"/>
      <c r="AC128" s="4"/>
      <c r="AD128" s="4"/>
      <c r="AE128" s="4"/>
      <c r="AF128" s="4"/>
      <c r="AG128" s="4"/>
      <c r="AH128" s="4"/>
      <c r="AI128" s="4"/>
      <c r="AJ128" s="4"/>
      <c r="AK128" s="4"/>
      <c r="AL128" s="4"/>
      <c r="AM128" s="4"/>
      <c r="AN128" s="4"/>
    </row>
    <row r="129" spans="1:40" x14ac:dyDescent="0.2">
      <c r="A129" s="4"/>
      <c r="S129" s="113"/>
      <c r="T129" s="4"/>
      <c r="U129" s="4"/>
      <c r="V129" s="4"/>
      <c r="W129" s="4"/>
      <c r="X129" s="4"/>
      <c r="Y129" s="4"/>
      <c r="Z129" s="4"/>
      <c r="AA129" s="4"/>
      <c r="AB129" s="4"/>
      <c r="AC129" s="4"/>
      <c r="AD129" s="4"/>
      <c r="AE129" s="4"/>
      <c r="AF129" s="4"/>
      <c r="AG129" s="4"/>
      <c r="AH129" s="4"/>
      <c r="AI129" s="4"/>
      <c r="AJ129" s="4"/>
      <c r="AK129" s="4"/>
      <c r="AL129" s="4"/>
      <c r="AM129" s="4"/>
      <c r="AN129" s="4"/>
    </row>
    <row r="130" spans="1:40" x14ac:dyDescent="0.2">
      <c r="A130" s="4"/>
      <c r="S130" s="113"/>
      <c r="T130" s="4"/>
      <c r="U130" s="4"/>
      <c r="V130" s="4"/>
      <c r="W130" s="4"/>
      <c r="X130" s="4"/>
      <c r="Y130" s="4"/>
      <c r="Z130" s="4"/>
      <c r="AA130" s="4"/>
      <c r="AB130" s="4"/>
      <c r="AC130" s="4"/>
      <c r="AD130" s="4"/>
      <c r="AE130" s="4"/>
      <c r="AF130" s="4"/>
      <c r="AG130" s="4"/>
      <c r="AH130" s="4"/>
      <c r="AI130" s="4"/>
      <c r="AJ130" s="4"/>
      <c r="AK130" s="4"/>
      <c r="AL130" s="4"/>
      <c r="AM130" s="4"/>
      <c r="AN130" s="4"/>
    </row>
    <row r="131" spans="1:40" x14ac:dyDescent="0.2">
      <c r="A131" s="4"/>
      <c r="S131" s="113"/>
      <c r="T131" s="4"/>
      <c r="U131" s="4"/>
      <c r="V131" s="4"/>
      <c r="W131" s="4"/>
      <c r="X131" s="4"/>
      <c r="Y131" s="4"/>
      <c r="Z131" s="4"/>
      <c r="AA131" s="4"/>
      <c r="AB131" s="4"/>
      <c r="AC131" s="4"/>
      <c r="AD131" s="4"/>
      <c r="AE131" s="4"/>
      <c r="AF131" s="4"/>
      <c r="AG131" s="4"/>
      <c r="AH131" s="4"/>
      <c r="AI131" s="4"/>
      <c r="AJ131" s="4"/>
      <c r="AK131" s="4"/>
      <c r="AL131" s="4"/>
      <c r="AM131" s="4"/>
      <c r="AN131" s="4"/>
    </row>
    <row r="132" spans="1:40" x14ac:dyDescent="0.2">
      <c r="A132" s="4"/>
      <c r="S132" s="113"/>
      <c r="T132" s="4"/>
      <c r="U132" s="4"/>
      <c r="V132" s="4"/>
      <c r="W132" s="4"/>
      <c r="X132" s="4"/>
      <c r="Y132" s="4"/>
      <c r="Z132" s="4"/>
      <c r="AA132" s="4"/>
      <c r="AB132" s="4"/>
      <c r="AC132" s="4"/>
      <c r="AD132" s="4"/>
      <c r="AE132" s="4"/>
      <c r="AF132" s="4"/>
      <c r="AG132" s="4"/>
      <c r="AH132" s="4"/>
      <c r="AI132" s="4"/>
      <c r="AJ132" s="4"/>
      <c r="AK132" s="4"/>
      <c r="AL132" s="4"/>
      <c r="AM132" s="4"/>
      <c r="AN132" s="4"/>
    </row>
    <row r="133" spans="1:40" x14ac:dyDescent="0.2">
      <c r="A133" s="4"/>
      <c r="S133" s="113"/>
      <c r="T133" s="4"/>
      <c r="U133" s="4"/>
      <c r="V133" s="4"/>
      <c r="W133" s="4"/>
      <c r="X133" s="4"/>
      <c r="Y133" s="4"/>
      <c r="Z133" s="4"/>
      <c r="AA133" s="4"/>
      <c r="AB133" s="4"/>
      <c r="AC133" s="4"/>
      <c r="AD133" s="4"/>
      <c r="AE133" s="4"/>
      <c r="AF133" s="4"/>
      <c r="AG133" s="4"/>
      <c r="AH133" s="4"/>
      <c r="AI133" s="4"/>
      <c r="AJ133" s="4"/>
      <c r="AK133" s="4"/>
      <c r="AL133" s="4"/>
      <c r="AM133" s="4"/>
      <c r="AN133" s="4"/>
    </row>
    <row r="134" spans="1:40" x14ac:dyDescent="0.2">
      <c r="A134" s="4"/>
      <c r="S134" s="113"/>
      <c r="T134" s="4"/>
      <c r="U134" s="4"/>
      <c r="V134" s="4"/>
      <c r="W134" s="4"/>
      <c r="X134" s="4"/>
      <c r="Y134" s="4"/>
      <c r="Z134" s="4"/>
      <c r="AA134" s="4"/>
      <c r="AB134" s="4"/>
      <c r="AC134" s="4"/>
      <c r="AD134" s="4"/>
      <c r="AE134" s="4"/>
      <c r="AF134" s="4"/>
      <c r="AG134" s="4"/>
      <c r="AH134" s="4"/>
      <c r="AI134" s="4"/>
      <c r="AJ134" s="4"/>
      <c r="AK134" s="4"/>
      <c r="AL134" s="4"/>
      <c r="AM134" s="4"/>
      <c r="AN134" s="4"/>
    </row>
    <row r="135" spans="1:40" x14ac:dyDescent="0.2">
      <c r="A135" s="4"/>
      <c r="S135" s="113"/>
      <c r="T135" s="4"/>
      <c r="U135" s="4"/>
      <c r="V135" s="4"/>
      <c r="W135" s="4"/>
      <c r="X135" s="4"/>
      <c r="Y135" s="4"/>
      <c r="Z135" s="4"/>
      <c r="AA135" s="4"/>
      <c r="AB135" s="4"/>
      <c r="AC135" s="4"/>
      <c r="AD135" s="4"/>
      <c r="AE135" s="4"/>
      <c r="AF135" s="4"/>
      <c r="AG135" s="4"/>
      <c r="AH135" s="4"/>
      <c r="AI135" s="4"/>
      <c r="AJ135" s="4"/>
      <c r="AK135" s="4"/>
      <c r="AL135" s="4"/>
      <c r="AM135" s="4"/>
      <c r="AN135" s="4"/>
    </row>
    <row r="136" spans="1:40" x14ac:dyDescent="0.2">
      <c r="A136" s="4"/>
      <c r="S136" s="113"/>
      <c r="T136" s="4"/>
      <c r="U136" s="4"/>
      <c r="V136" s="4"/>
      <c r="W136" s="4"/>
      <c r="X136" s="4"/>
      <c r="Y136" s="4"/>
      <c r="Z136" s="4"/>
      <c r="AA136" s="4"/>
      <c r="AB136" s="4"/>
      <c r="AC136" s="4"/>
      <c r="AD136" s="4"/>
      <c r="AE136" s="4"/>
      <c r="AF136" s="4"/>
      <c r="AG136" s="4"/>
      <c r="AH136" s="4"/>
      <c r="AI136" s="4"/>
      <c r="AJ136" s="4"/>
      <c r="AK136" s="4"/>
      <c r="AL136" s="4"/>
      <c r="AM136" s="4"/>
      <c r="AN136" s="4"/>
    </row>
    <row r="137" spans="1:40" x14ac:dyDescent="0.2">
      <c r="A137" s="4"/>
      <c r="S137" s="113"/>
      <c r="T137" s="4"/>
      <c r="U137" s="4"/>
      <c r="V137" s="4"/>
      <c r="W137" s="4"/>
      <c r="X137" s="4"/>
      <c r="Y137" s="4"/>
      <c r="Z137" s="4"/>
      <c r="AA137" s="4"/>
      <c r="AB137" s="4"/>
      <c r="AC137" s="4"/>
      <c r="AD137" s="4"/>
      <c r="AE137" s="4"/>
      <c r="AF137" s="4"/>
      <c r="AG137" s="4"/>
      <c r="AH137" s="4"/>
      <c r="AI137" s="4"/>
      <c r="AJ137" s="4"/>
      <c r="AK137" s="4"/>
      <c r="AL137" s="4"/>
      <c r="AM137" s="4"/>
      <c r="AN137" s="4"/>
    </row>
    <row r="138" spans="1:40" x14ac:dyDescent="0.2">
      <c r="A138" s="4"/>
      <c r="S138" s="113"/>
      <c r="T138" s="4"/>
      <c r="U138" s="4"/>
      <c r="V138" s="4"/>
      <c r="W138" s="4"/>
      <c r="X138" s="4"/>
      <c r="Y138" s="4"/>
      <c r="Z138" s="4"/>
      <c r="AA138" s="4"/>
      <c r="AB138" s="4"/>
      <c r="AC138" s="4"/>
      <c r="AD138" s="4"/>
      <c r="AE138" s="4"/>
      <c r="AF138" s="4"/>
      <c r="AG138" s="4"/>
      <c r="AH138" s="4"/>
      <c r="AI138" s="4"/>
      <c r="AJ138" s="4"/>
      <c r="AK138" s="4"/>
      <c r="AL138" s="4"/>
      <c r="AM138" s="4"/>
      <c r="AN138" s="4"/>
    </row>
    <row r="139" spans="1:40" x14ac:dyDescent="0.2">
      <c r="A139" s="4"/>
      <c r="S139" s="113"/>
      <c r="T139" s="4"/>
      <c r="U139" s="4"/>
      <c r="V139" s="4"/>
      <c r="W139" s="4"/>
      <c r="X139" s="4"/>
      <c r="Y139" s="4"/>
      <c r="Z139" s="4"/>
      <c r="AA139" s="4"/>
      <c r="AB139" s="4"/>
      <c r="AC139" s="4"/>
      <c r="AD139" s="4"/>
      <c r="AE139" s="4"/>
      <c r="AF139" s="4"/>
      <c r="AG139" s="4"/>
      <c r="AH139" s="4"/>
      <c r="AI139" s="4"/>
      <c r="AJ139" s="4"/>
      <c r="AK139" s="4"/>
      <c r="AL139" s="4"/>
      <c r="AM139" s="4"/>
      <c r="AN139" s="4"/>
    </row>
    <row r="140" spans="1:40" x14ac:dyDescent="0.2">
      <c r="A140" s="4"/>
      <c r="S140" s="113"/>
      <c r="T140" s="4"/>
      <c r="U140" s="4"/>
      <c r="V140" s="4"/>
      <c r="W140" s="4"/>
      <c r="X140" s="4"/>
      <c r="Y140" s="4"/>
      <c r="Z140" s="4"/>
      <c r="AA140" s="4"/>
      <c r="AB140" s="4"/>
      <c r="AC140" s="4"/>
      <c r="AD140" s="4"/>
      <c r="AE140" s="4"/>
      <c r="AF140" s="4"/>
      <c r="AG140" s="4"/>
      <c r="AH140" s="4"/>
      <c r="AI140" s="4"/>
      <c r="AJ140" s="4"/>
      <c r="AK140" s="4"/>
      <c r="AL140" s="4"/>
      <c r="AM140" s="4"/>
      <c r="AN140" s="4"/>
    </row>
    <row r="141" spans="1:40" x14ac:dyDescent="0.2">
      <c r="A141" s="4"/>
      <c r="S141" s="113"/>
      <c r="T141" s="4"/>
      <c r="U141" s="4"/>
      <c r="V141" s="4"/>
      <c r="W141" s="4"/>
      <c r="X141" s="4"/>
      <c r="Y141" s="4"/>
      <c r="Z141" s="4"/>
      <c r="AA141" s="4"/>
      <c r="AB141" s="4"/>
      <c r="AC141" s="4"/>
      <c r="AD141" s="4"/>
      <c r="AE141" s="4"/>
      <c r="AF141" s="4"/>
      <c r="AG141" s="4"/>
      <c r="AH141" s="4"/>
      <c r="AI141" s="4"/>
      <c r="AJ141" s="4"/>
      <c r="AK141" s="4"/>
      <c r="AL141" s="4"/>
      <c r="AM141" s="4"/>
      <c r="AN141" s="4"/>
    </row>
    <row r="142" spans="1:40" x14ac:dyDescent="0.2">
      <c r="A142" s="4"/>
      <c r="S142" s="113"/>
      <c r="T142" s="4"/>
      <c r="U142" s="4"/>
      <c r="V142" s="4"/>
      <c r="W142" s="4"/>
      <c r="X142" s="4"/>
      <c r="Y142" s="4"/>
      <c r="Z142" s="4"/>
      <c r="AA142" s="4"/>
      <c r="AB142" s="4"/>
      <c r="AC142" s="4"/>
      <c r="AD142" s="4"/>
      <c r="AE142" s="4"/>
      <c r="AF142" s="4"/>
      <c r="AG142" s="4"/>
      <c r="AH142" s="4"/>
      <c r="AI142" s="4"/>
      <c r="AJ142" s="4"/>
      <c r="AK142" s="4"/>
      <c r="AL142" s="4"/>
      <c r="AM142" s="4"/>
      <c r="AN142" s="4"/>
    </row>
    <row r="143" spans="1:40" x14ac:dyDescent="0.2">
      <c r="A143" s="4"/>
      <c r="S143" s="113"/>
      <c r="T143" s="4"/>
      <c r="U143" s="4"/>
      <c r="V143" s="4"/>
      <c r="W143" s="4"/>
      <c r="X143" s="4"/>
      <c r="Y143" s="4"/>
      <c r="Z143" s="4"/>
      <c r="AA143" s="4"/>
      <c r="AB143" s="4"/>
      <c r="AC143" s="4"/>
      <c r="AD143" s="4"/>
      <c r="AE143" s="4"/>
      <c r="AF143" s="4"/>
      <c r="AG143" s="4"/>
      <c r="AH143" s="4"/>
      <c r="AI143" s="4"/>
      <c r="AJ143" s="4"/>
      <c r="AK143" s="4"/>
      <c r="AL143" s="4"/>
      <c r="AM143" s="4"/>
      <c r="AN143" s="4"/>
    </row>
    <row r="144" spans="1:40" x14ac:dyDescent="0.2">
      <c r="A144" s="4"/>
      <c r="S144" s="113"/>
      <c r="T144" s="4"/>
      <c r="U144" s="4"/>
      <c r="V144" s="4"/>
      <c r="W144" s="4"/>
      <c r="X144" s="4"/>
      <c r="Y144" s="4"/>
      <c r="Z144" s="4"/>
      <c r="AA144" s="4"/>
      <c r="AB144" s="4"/>
      <c r="AC144" s="4"/>
      <c r="AD144" s="4"/>
      <c r="AE144" s="4"/>
      <c r="AF144" s="4"/>
      <c r="AG144" s="4"/>
      <c r="AH144" s="4"/>
      <c r="AI144" s="4"/>
      <c r="AJ144" s="4"/>
      <c r="AK144" s="4"/>
      <c r="AL144" s="4"/>
      <c r="AM144" s="4"/>
      <c r="AN144" s="4"/>
    </row>
    <row r="145" spans="1:40" x14ac:dyDescent="0.2">
      <c r="A145" s="4"/>
      <c r="S145" s="113"/>
      <c r="T145" s="4"/>
      <c r="U145" s="4"/>
      <c r="V145" s="4"/>
      <c r="W145" s="4"/>
      <c r="X145" s="4"/>
      <c r="Y145" s="4"/>
      <c r="Z145" s="4"/>
      <c r="AA145" s="4"/>
      <c r="AB145" s="4"/>
      <c r="AC145" s="4"/>
      <c r="AD145" s="4"/>
      <c r="AE145" s="4"/>
      <c r="AF145" s="4"/>
      <c r="AG145" s="4"/>
      <c r="AH145" s="4"/>
      <c r="AI145" s="4"/>
      <c r="AJ145" s="4"/>
      <c r="AK145" s="4"/>
      <c r="AL145" s="4"/>
      <c r="AM145" s="4"/>
      <c r="AN145" s="4"/>
    </row>
    <row r="146" spans="1:40" x14ac:dyDescent="0.2">
      <c r="A146" s="4"/>
      <c r="S146" s="113"/>
      <c r="T146" s="4"/>
      <c r="U146" s="4"/>
      <c r="V146" s="4"/>
      <c r="W146" s="4"/>
      <c r="X146" s="4"/>
      <c r="Y146" s="4"/>
      <c r="Z146" s="4"/>
      <c r="AA146" s="4"/>
      <c r="AB146" s="4"/>
      <c r="AC146" s="4"/>
      <c r="AD146" s="4"/>
      <c r="AE146" s="4"/>
      <c r="AF146" s="4"/>
      <c r="AG146" s="4"/>
      <c r="AH146" s="4"/>
      <c r="AI146" s="4"/>
      <c r="AJ146" s="4"/>
      <c r="AK146" s="4"/>
      <c r="AL146" s="4"/>
      <c r="AM146" s="4"/>
      <c r="AN146" s="4"/>
    </row>
    <row r="147" spans="1:40" x14ac:dyDescent="0.2">
      <c r="A147" s="4"/>
      <c r="S147" s="113"/>
      <c r="T147" s="4"/>
      <c r="U147" s="4"/>
      <c r="V147" s="4"/>
      <c r="W147" s="4"/>
      <c r="X147" s="4"/>
      <c r="Y147" s="4"/>
      <c r="Z147" s="4"/>
      <c r="AA147" s="4"/>
      <c r="AB147" s="4"/>
      <c r="AC147" s="4"/>
      <c r="AD147" s="4"/>
      <c r="AE147" s="4"/>
      <c r="AF147" s="4"/>
      <c r="AG147" s="4"/>
      <c r="AH147" s="4"/>
      <c r="AI147" s="4"/>
      <c r="AJ147" s="4"/>
      <c r="AK147" s="4"/>
      <c r="AL147" s="4"/>
      <c r="AM147" s="4"/>
      <c r="AN147" s="4"/>
    </row>
    <row r="148" spans="1:40" x14ac:dyDescent="0.2">
      <c r="A148" s="4"/>
      <c r="S148" s="113"/>
      <c r="T148" s="4"/>
      <c r="U148" s="4"/>
      <c r="V148" s="4"/>
      <c r="W148" s="4"/>
      <c r="X148" s="4"/>
      <c r="Y148" s="4"/>
      <c r="Z148" s="4"/>
      <c r="AA148" s="4"/>
      <c r="AB148" s="4"/>
      <c r="AC148" s="4"/>
      <c r="AD148" s="4"/>
      <c r="AE148" s="4"/>
      <c r="AF148" s="4"/>
      <c r="AG148" s="4"/>
      <c r="AH148" s="4"/>
      <c r="AI148" s="4"/>
      <c r="AJ148" s="4"/>
      <c r="AK148" s="4"/>
      <c r="AL148" s="4"/>
      <c r="AM148" s="4"/>
      <c r="AN148" s="4"/>
    </row>
    <row r="149" spans="1:40" x14ac:dyDescent="0.2">
      <c r="A149" s="4"/>
      <c r="S149" s="113"/>
      <c r="T149" s="4"/>
      <c r="U149" s="4"/>
      <c r="V149" s="4"/>
      <c r="W149" s="4"/>
      <c r="X149" s="4"/>
      <c r="Y149" s="4"/>
      <c r="Z149" s="4"/>
      <c r="AA149" s="4"/>
      <c r="AB149" s="4"/>
      <c r="AC149" s="4"/>
      <c r="AD149" s="4"/>
      <c r="AE149" s="4"/>
      <c r="AF149" s="4"/>
      <c r="AG149" s="4"/>
      <c r="AH149" s="4"/>
      <c r="AI149" s="4"/>
      <c r="AJ149" s="4"/>
      <c r="AK149" s="4"/>
      <c r="AL149" s="4"/>
      <c r="AM149" s="4"/>
      <c r="AN149" s="4"/>
    </row>
    <row r="150" spans="1:40" x14ac:dyDescent="0.2">
      <c r="A150" s="4"/>
      <c r="S150" s="113"/>
      <c r="T150" s="4"/>
      <c r="U150" s="4"/>
      <c r="V150" s="4"/>
      <c r="W150" s="4"/>
      <c r="X150" s="4"/>
      <c r="Y150" s="4"/>
      <c r="Z150" s="4"/>
      <c r="AA150" s="4"/>
      <c r="AB150" s="4"/>
      <c r="AC150" s="4"/>
      <c r="AD150" s="4"/>
      <c r="AE150" s="4"/>
      <c r="AF150" s="4"/>
      <c r="AG150" s="4"/>
      <c r="AH150" s="4"/>
      <c r="AI150" s="4"/>
      <c r="AJ150" s="4"/>
      <c r="AK150" s="4"/>
      <c r="AL150" s="4"/>
      <c r="AM150" s="4"/>
      <c r="AN150" s="4"/>
    </row>
    <row r="151" spans="1:40" x14ac:dyDescent="0.2">
      <c r="A151" s="4"/>
      <c r="S151" s="113"/>
      <c r="T151" s="4"/>
      <c r="U151" s="4"/>
      <c r="V151" s="4"/>
      <c r="W151" s="4"/>
      <c r="X151" s="4"/>
      <c r="Y151" s="4"/>
      <c r="Z151" s="4"/>
      <c r="AA151" s="4"/>
      <c r="AB151" s="4"/>
      <c r="AC151" s="4"/>
      <c r="AD151" s="4"/>
      <c r="AE151" s="4"/>
      <c r="AF151" s="4"/>
      <c r="AG151" s="4"/>
      <c r="AH151" s="4"/>
      <c r="AI151" s="4"/>
      <c r="AJ151" s="4"/>
      <c r="AK151" s="4"/>
      <c r="AL151" s="4"/>
      <c r="AM151" s="4"/>
      <c r="AN151" s="4"/>
    </row>
    <row r="152" spans="1:40" x14ac:dyDescent="0.2">
      <c r="A152" s="4"/>
      <c r="S152" s="113"/>
      <c r="T152" s="4"/>
      <c r="U152" s="4"/>
      <c r="V152" s="4"/>
      <c r="W152" s="4"/>
      <c r="X152" s="4"/>
      <c r="Y152" s="4"/>
      <c r="Z152" s="4"/>
      <c r="AA152" s="4"/>
      <c r="AB152" s="4"/>
      <c r="AC152" s="4"/>
      <c r="AD152" s="4"/>
      <c r="AE152" s="4"/>
      <c r="AF152" s="4"/>
      <c r="AG152" s="4"/>
      <c r="AH152" s="4"/>
      <c r="AI152" s="4"/>
      <c r="AJ152" s="4"/>
      <c r="AK152" s="4"/>
      <c r="AL152" s="4"/>
      <c r="AM152" s="4"/>
      <c r="AN152" s="4"/>
    </row>
    <row r="153" spans="1:40" x14ac:dyDescent="0.2">
      <c r="A153" s="4"/>
      <c r="S153" s="113"/>
      <c r="T153" s="4"/>
      <c r="U153" s="4"/>
      <c r="V153" s="4"/>
      <c r="W153" s="4"/>
      <c r="X153" s="4"/>
      <c r="Y153" s="4"/>
      <c r="Z153" s="4"/>
      <c r="AA153" s="4"/>
      <c r="AB153" s="4"/>
      <c r="AC153" s="4"/>
      <c r="AD153" s="4"/>
      <c r="AE153" s="4"/>
      <c r="AF153" s="4"/>
      <c r="AG153" s="4"/>
      <c r="AH153" s="4"/>
      <c r="AI153" s="4"/>
      <c r="AJ153" s="4"/>
      <c r="AK153" s="4"/>
      <c r="AL153" s="4"/>
      <c r="AM153" s="4"/>
      <c r="AN153" s="4"/>
    </row>
    <row r="154" spans="1:40" x14ac:dyDescent="0.2">
      <c r="A154" s="4"/>
      <c r="S154" s="113"/>
      <c r="T154" s="4"/>
      <c r="U154" s="4"/>
      <c r="V154" s="4"/>
      <c r="W154" s="4"/>
      <c r="X154" s="4"/>
      <c r="Y154" s="4"/>
      <c r="Z154" s="4"/>
      <c r="AA154" s="4"/>
      <c r="AB154" s="4"/>
      <c r="AC154" s="4"/>
      <c r="AD154" s="4"/>
      <c r="AE154" s="4"/>
      <c r="AF154" s="4"/>
      <c r="AG154" s="4"/>
      <c r="AH154" s="4"/>
      <c r="AI154" s="4"/>
      <c r="AJ154" s="4"/>
      <c r="AK154" s="4"/>
      <c r="AL154" s="4"/>
      <c r="AM154" s="4"/>
      <c r="AN154" s="4"/>
    </row>
    <row r="155" spans="1:40" x14ac:dyDescent="0.2">
      <c r="A155" s="4"/>
      <c r="S155" s="113"/>
      <c r="T155" s="4"/>
      <c r="U155" s="4"/>
      <c r="V155" s="4"/>
      <c r="W155" s="4"/>
      <c r="X155" s="4"/>
      <c r="Y155" s="4"/>
      <c r="Z155" s="4"/>
      <c r="AA155" s="4"/>
      <c r="AB155" s="4"/>
      <c r="AC155" s="4"/>
      <c r="AD155" s="4"/>
      <c r="AE155" s="4"/>
      <c r="AF155" s="4"/>
      <c r="AG155" s="4"/>
      <c r="AH155" s="4"/>
      <c r="AI155" s="4"/>
      <c r="AJ155" s="4"/>
      <c r="AK155" s="4"/>
      <c r="AL155" s="4"/>
      <c r="AM155" s="4"/>
      <c r="AN155" s="4"/>
    </row>
    <row r="156" spans="1:40" x14ac:dyDescent="0.2">
      <c r="A156" s="4"/>
      <c r="S156" s="113"/>
      <c r="T156" s="4"/>
      <c r="U156" s="4"/>
      <c r="V156" s="4"/>
      <c r="W156" s="4"/>
      <c r="X156" s="4"/>
      <c r="Y156" s="4"/>
      <c r="Z156" s="4"/>
      <c r="AA156" s="4"/>
      <c r="AB156" s="4"/>
      <c r="AC156" s="4"/>
      <c r="AD156" s="4"/>
      <c r="AE156" s="4"/>
      <c r="AF156" s="4"/>
      <c r="AG156" s="4"/>
      <c r="AH156" s="4"/>
      <c r="AI156" s="4"/>
      <c r="AJ156" s="4"/>
      <c r="AK156" s="4"/>
      <c r="AL156" s="4"/>
      <c r="AM156" s="4"/>
      <c r="AN156" s="4"/>
    </row>
    <row r="157" spans="1:40" x14ac:dyDescent="0.2">
      <c r="A157" s="4"/>
      <c r="S157" s="113"/>
      <c r="T157" s="4"/>
      <c r="U157" s="4"/>
      <c r="V157" s="4"/>
      <c r="W157" s="4"/>
      <c r="X157" s="4"/>
      <c r="Y157" s="4"/>
      <c r="Z157" s="4"/>
      <c r="AA157" s="4"/>
      <c r="AB157" s="4"/>
      <c r="AC157" s="4"/>
      <c r="AD157" s="4"/>
      <c r="AE157" s="4"/>
      <c r="AF157" s="4"/>
      <c r="AG157" s="4"/>
      <c r="AH157" s="4"/>
      <c r="AI157" s="4"/>
      <c r="AJ157" s="4"/>
      <c r="AK157" s="4"/>
      <c r="AL157" s="4"/>
      <c r="AM157" s="4"/>
      <c r="AN157" s="4"/>
    </row>
    <row r="158" spans="1:40" x14ac:dyDescent="0.2">
      <c r="A158" s="4"/>
      <c r="S158" s="113"/>
      <c r="T158" s="4"/>
      <c r="U158" s="4"/>
      <c r="V158" s="4"/>
      <c r="W158" s="4"/>
      <c r="X158" s="4"/>
      <c r="Y158" s="4"/>
      <c r="Z158" s="4"/>
      <c r="AA158" s="4"/>
      <c r="AB158" s="4"/>
      <c r="AC158" s="4"/>
      <c r="AD158" s="4"/>
      <c r="AE158" s="4"/>
      <c r="AF158" s="4"/>
      <c r="AG158" s="4"/>
      <c r="AH158" s="4"/>
      <c r="AI158" s="4"/>
      <c r="AJ158" s="4"/>
      <c r="AK158" s="4"/>
      <c r="AL158" s="4"/>
      <c r="AM158" s="4"/>
      <c r="AN158" s="4"/>
    </row>
    <row r="159" spans="1:40" x14ac:dyDescent="0.2">
      <c r="A159" s="4"/>
      <c r="S159" s="113"/>
      <c r="T159" s="4"/>
      <c r="U159" s="4"/>
      <c r="V159" s="4"/>
      <c r="W159" s="4"/>
      <c r="X159" s="4"/>
      <c r="Y159" s="4"/>
      <c r="Z159" s="4"/>
      <c r="AA159" s="4"/>
      <c r="AB159" s="4"/>
      <c r="AC159" s="4"/>
      <c r="AD159" s="4"/>
      <c r="AE159" s="4"/>
      <c r="AF159" s="4"/>
      <c r="AG159" s="4"/>
      <c r="AH159" s="4"/>
      <c r="AI159" s="4"/>
      <c r="AJ159" s="4"/>
      <c r="AK159" s="4"/>
      <c r="AL159" s="4"/>
      <c r="AM159" s="4"/>
      <c r="AN159" s="4"/>
    </row>
    <row r="160" spans="1:40" x14ac:dyDescent="0.2">
      <c r="A160" s="4"/>
      <c r="S160" s="113"/>
      <c r="T160" s="4"/>
      <c r="U160" s="4"/>
      <c r="V160" s="4"/>
      <c r="W160" s="4"/>
      <c r="X160" s="4"/>
      <c r="Y160" s="4"/>
      <c r="Z160" s="4"/>
      <c r="AA160" s="4"/>
      <c r="AB160" s="4"/>
      <c r="AC160" s="4"/>
      <c r="AD160" s="4"/>
      <c r="AE160" s="4"/>
      <c r="AF160" s="4"/>
      <c r="AG160" s="4"/>
      <c r="AH160" s="4"/>
      <c r="AI160" s="4"/>
      <c r="AJ160" s="4"/>
      <c r="AK160" s="4"/>
      <c r="AL160" s="4"/>
      <c r="AM160" s="4"/>
      <c r="AN160" s="4"/>
    </row>
    <row r="161" spans="1:40" x14ac:dyDescent="0.2">
      <c r="A161" s="4"/>
      <c r="S161" s="113"/>
      <c r="T161" s="4"/>
      <c r="U161" s="4"/>
      <c r="V161" s="4"/>
      <c r="W161" s="4"/>
      <c r="X161" s="4"/>
      <c r="Y161" s="4"/>
      <c r="Z161" s="4"/>
      <c r="AA161" s="4"/>
      <c r="AB161" s="4"/>
      <c r="AC161" s="4"/>
      <c r="AD161" s="4"/>
      <c r="AE161" s="4"/>
      <c r="AF161" s="4"/>
      <c r="AG161" s="4"/>
      <c r="AH161" s="4"/>
      <c r="AI161" s="4"/>
      <c r="AJ161" s="4"/>
      <c r="AK161" s="4"/>
      <c r="AL161" s="4"/>
      <c r="AM161" s="4"/>
      <c r="AN161" s="4"/>
    </row>
    <row r="162" spans="1:40" x14ac:dyDescent="0.2">
      <c r="A162" s="4"/>
      <c r="S162" s="113"/>
      <c r="T162" s="4"/>
      <c r="U162" s="4"/>
      <c r="V162" s="4"/>
      <c r="W162" s="4"/>
      <c r="X162" s="4"/>
      <c r="Y162" s="4"/>
      <c r="Z162" s="4"/>
      <c r="AA162" s="4"/>
      <c r="AB162" s="4"/>
      <c r="AC162" s="4"/>
      <c r="AD162" s="4"/>
      <c r="AE162" s="4"/>
      <c r="AF162" s="4"/>
      <c r="AG162" s="4"/>
      <c r="AH162" s="4"/>
      <c r="AI162" s="4"/>
      <c r="AJ162" s="4"/>
      <c r="AK162" s="4"/>
      <c r="AL162" s="4"/>
      <c r="AM162" s="4"/>
      <c r="AN162" s="4"/>
    </row>
    <row r="163" spans="1:40" x14ac:dyDescent="0.2">
      <c r="A163" s="4"/>
      <c r="S163" s="113"/>
      <c r="T163" s="4"/>
      <c r="U163" s="4"/>
      <c r="V163" s="4"/>
      <c r="W163" s="4"/>
      <c r="X163" s="4"/>
      <c r="Y163" s="4"/>
      <c r="Z163" s="4"/>
      <c r="AA163" s="4"/>
      <c r="AB163" s="4"/>
      <c r="AC163" s="4"/>
      <c r="AD163" s="4"/>
      <c r="AE163" s="4"/>
      <c r="AF163" s="4"/>
      <c r="AG163" s="4"/>
      <c r="AH163" s="4"/>
      <c r="AI163" s="4"/>
      <c r="AJ163" s="4"/>
      <c r="AK163" s="4"/>
      <c r="AL163" s="4"/>
      <c r="AM163" s="4"/>
      <c r="AN163" s="4"/>
    </row>
    <row r="164" spans="1:40" x14ac:dyDescent="0.2">
      <c r="A164" s="4"/>
      <c r="S164" s="113"/>
      <c r="T164" s="4"/>
      <c r="U164" s="4"/>
      <c r="V164" s="4"/>
      <c r="W164" s="4"/>
      <c r="X164" s="4"/>
      <c r="Y164" s="4"/>
      <c r="Z164" s="4"/>
      <c r="AA164" s="4"/>
      <c r="AB164" s="4"/>
      <c r="AC164" s="4"/>
      <c r="AD164" s="4"/>
      <c r="AE164" s="4"/>
      <c r="AF164" s="4"/>
      <c r="AG164" s="4"/>
      <c r="AH164" s="4"/>
      <c r="AI164" s="4"/>
      <c r="AJ164" s="4"/>
      <c r="AK164" s="4"/>
      <c r="AL164" s="4"/>
      <c r="AM164" s="4"/>
      <c r="AN164" s="4"/>
    </row>
    <row r="165" spans="1:40" x14ac:dyDescent="0.2">
      <c r="A165" s="4"/>
      <c r="S165" s="113"/>
      <c r="T165" s="4"/>
      <c r="U165" s="4"/>
      <c r="V165" s="4"/>
      <c r="W165" s="4"/>
      <c r="X165" s="4"/>
      <c r="Y165" s="4"/>
      <c r="Z165" s="4"/>
      <c r="AA165" s="4"/>
      <c r="AB165" s="4"/>
      <c r="AC165" s="4"/>
      <c r="AD165" s="4"/>
      <c r="AE165" s="4"/>
      <c r="AF165" s="4"/>
      <c r="AG165" s="4"/>
      <c r="AH165" s="4"/>
      <c r="AI165" s="4"/>
      <c r="AJ165" s="4"/>
      <c r="AK165" s="4"/>
      <c r="AL165" s="4"/>
      <c r="AM165" s="4"/>
      <c r="AN165" s="4"/>
    </row>
    <row r="166" spans="1:40" x14ac:dyDescent="0.2">
      <c r="A166" s="4"/>
      <c r="S166" s="113"/>
      <c r="T166" s="4"/>
      <c r="U166" s="4"/>
      <c r="V166" s="4"/>
      <c r="W166" s="4"/>
      <c r="X166" s="4"/>
      <c r="Y166" s="4"/>
      <c r="Z166" s="4"/>
      <c r="AA166" s="4"/>
      <c r="AB166" s="4"/>
      <c r="AC166" s="4"/>
      <c r="AD166" s="4"/>
      <c r="AE166" s="4"/>
      <c r="AF166" s="4"/>
      <c r="AG166" s="4"/>
      <c r="AH166" s="4"/>
      <c r="AI166" s="4"/>
      <c r="AJ166" s="4"/>
      <c r="AK166" s="4"/>
      <c r="AL166" s="4"/>
      <c r="AM166" s="4"/>
      <c r="AN166" s="4"/>
    </row>
    <row r="167" spans="1:40" x14ac:dyDescent="0.2">
      <c r="A167" s="4"/>
      <c r="S167" s="113"/>
      <c r="T167" s="4"/>
      <c r="U167" s="4"/>
      <c r="V167" s="4"/>
      <c r="W167" s="4"/>
      <c r="X167" s="4"/>
      <c r="Y167" s="4"/>
      <c r="Z167" s="4"/>
      <c r="AA167" s="4"/>
      <c r="AB167" s="4"/>
      <c r="AC167" s="4"/>
      <c r="AD167" s="4"/>
      <c r="AE167" s="4"/>
      <c r="AF167" s="4"/>
      <c r="AG167" s="4"/>
      <c r="AH167" s="4"/>
      <c r="AI167" s="4"/>
      <c r="AJ167" s="4"/>
      <c r="AK167" s="4"/>
      <c r="AL167" s="4"/>
      <c r="AM167" s="4"/>
      <c r="AN167" s="4"/>
    </row>
    <row r="168" spans="1:40" x14ac:dyDescent="0.2">
      <c r="A168" s="4"/>
      <c r="S168" s="113"/>
      <c r="T168" s="4"/>
      <c r="U168" s="4"/>
      <c r="V168" s="4"/>
      <c r="W168" s="4"/>
      <c r="X168" s="4"/>
      <c r="Y168" s="4"/>
      <c r="Z168" s="4"/>
      <c r="AA168" s="4"/>
      <c r="AB168" s="4"/>
      <c r="AC168" s="4"/>
      <c r="AD168" s="4"/>
      <c r="AE168" s="4"/>
      <c r="AF168" s="4"/>
      <c r="AG168" s="4"/>
      <c r="AH168" s="4"/>
      <c r="AI168" s="4"/>
      <c r="AJ168" s="4"/>
      <c r="AK168" s="4"/>
      <c r="AL168" s="4"/>
      <c r="AM168" s="4"/>
      <c r="AN168" s="4"/>
    </row>
    <row r="169" spans="1:40" x14ac:dyDescent="0.2">
      <c r="A169" s="4"/>
      <c r="S169" s="113"/>
      <c r="T169" s="4"/>
      <c r="U169" s="4"/>
      <c r="V169" s="4"/>
      <c r="W169" s="4"/>
      <c r="X169" s="4"/>
      <c r="Y169" s="4"/>
      <c r="Z169" s="4"/>
      <c r="AA169" s="4"/>
      <c r="AB169" s="4"/>
      <c r="AC169" s="4"/>
      <c r="AD169" s="4"/>
      <c r="AE169" s="4"/>
      <c r="AF169" s="4"/>
      <c r="AG169" s="4"/>
      <c r="AH169" s="4"/>
      <c r="AI169" s="4"/>
      <c r="AJ169" s="4"/>
      <c r="AK169" s="4"/>
      <c r="AL169" s="4"/>
      <c r="AM169" s="4"/>
      <c r="AN169" s="4"/>
    </row>
    <row r="170" spans="1:40" x14ac:dyDescent="0.2">
      <c r="A170" s="4"/>
      <c r="S170" s="113"/>
      <c r="T170" s="4"/>
      <c r="U170" s="4"/>
      <c r="V170" s="4"/>
      <c r="W170" s="4"/>
      <c r="X170" s="4"/>
      <c r="Y170" s="4"/>
      <c r="Z170" s="4"/>
      <c r="AA170" s="4"/>
      <c r="AB170" s="4"/>
      <c r="AC170" s="4"/>
      <c r="AD170" s="4"/>
      <c r="AE170" s="4"/>
      <c r="AF170" s="4"/>
      <c r="AG170" s="4"/>
      <c r="AH170" s="4"/>
      <c r="AI170" s="4"/>
      <c r="AJ170" s="4"/>
      <c r="AK170" s="4"/>
      <c r="AL170" s="4"/>
      <c r="AM170" s="4"/>
      <c r="AN170" s="4"/>
    </row>
    <row r="171" spans="1:40" x14ac:dyDescent="0.2">
      <c r="A171" s="4"/>
      <c r="S171" s="113"/>
      <c r="T171" s="4"/>
      <c r="U171" s="4"/>
      <c r="V171" s="4"/>
      <c r="W171" s="4"/>
      <c r="X171" s="4"/>
      <c r="Y171" s="4"/>
      <c r="Z171" s="4"/>
      <c r="AA171" s="4"/>
      <c r="AB171" s="4"/>
      <c r="AC171" s="4"/>
      <c r="AD171" s="4"/>
      <c r="AE171" s="4"/>
      <c r="AF171" s="4"/>
      <c r="AG171" s="4"/>
      <c r="AH171" s="4"/>
      <c r="AI171" s="4"/>
      <c r="AJ171" s="4"/>
      <c r="AK171" s="4"/>
      <c r="AL171" s="4"/>
      <c r="AM171" s="4"/>
      <c r="AN171" s="4"/>
    </row>
    <row r="172" spans="1:40" x14ac:dyDescent="0.2">
      <c r="A172" s="4"/>
      <c r="S172" s="113"/>
      <c r="T172" s="4"/>
      <c r="U172" s="4"/>
      <c r="V172" s="4"/>
      <c r="W172" s="4"/>
      <c r="X172" s="4"/>
      <c r="Y172" s="4"/>
      <c r="Z172" s="4"/>
      <c r="AA172" s="4"/>
      <c r="AB172" s="4"/>
      <c r="AC172" s="4"/>
      <c r="AD172" s="4"/>
      <c r="AE172" s="4"/>
      <c r="AF172" s="4"/>
      <c r="AG172" s="4"/>
      <c r="AH172" s="4"/>
      <c r="AI172" s="4"/>
      <c r="AJ172" s="4"/>
      <c r="AK172" s="4"/>
      <c r="AL172" s="4"/>
      <c r="AM172" s="4"/>
      <c r="AN172" s="4"/>
    </row>
    <row r="173" spans="1:40" x14ac:dyDescent="0.2">
      <c r="A173" s="4"/>
      <c r="S173" s="113"/>
      <c r="T173" s="4"/>
      <c r="U173" s="4"/>
      <c r="V173" s="4"/>
      <c r="W173" s="4"/>
      <c r="X173" s="4"/>
      <c r="Y173" s="4"/>
      <c r="Z173" s="4"/>
      <c r="AA173" s="4"/>
      <c r="AB173" s="4"/>
      <c r="AC173" s="4"/>
      <c r="AD173" s="4"/>
      <c r="AE173" s="4"/>
      <c r="AF173" s="4"/>
      <c r="AG173" s="4"/>
      <c r="AH173" s="4"/>
      <c r="AI173" s="4"/>
      <c r="AJ173" s="4"/>
      <c r="AK173" s="4"/>
      <c r="AL173" s="4"/>
      <c r="AM173" s="4"/>
      <c r="AN173" s="4"/>
    </row>
    <row r="174" spans="1:40" x14ac:dyDescent="0.2">
      <c r="A174" s="4"/>
      <c r="S174" s="113"/>
      <c r="T174" s="4"/>
      <c r="U174" s="4"/>
      <c r="V174" s="4"/>
      <c r="W174" s="4"/>
      <c r="X174" s="4"/>
      <c r="Y174" s="4"/>
      <c r="Z174" s="4"/>
      <c r="AA174" s="4"/>
      <c r="AB174" s="4"/>
      <c r="AC174" s="4"/>
      <c r="AD174" s="4"/>
      <c r="AE174" s="4"/>
      <c r="AF174" s="4"/>
      <c r="AG174" s="4"/>
      <c r="AH174" s="4"/>
      <c r="AI174" s="4"/>
      <c r="AJ174" s="4"/>
      <c r="AK174" s="4"/>
      <c r="AL174" s="4"/>
      <c r="AM174" s="4"/>
      <c r="AN174" s="4"/>
    </row>
    <row r="175" spans="1:40" x14ac:dyDescent="0.2">
      <c r="A175" s="4"/>
      <c r="S175" s="113"/>
      <c r="T175" s="4"/>
      <c r="U175" s="4"/>
      <c r="V175" s="4"/>
      <c r="W175" s="4"/>
      <c r="X175" s="4"/>
      <c r="Y175" s="4"/>
      <c r="Z175" s="4"/>
      <c r="AA175" s="4"/>
      <c r="AB175" s="4"/>
      <c r="AC175" s="4"/>
      <c r="AD175" s="4"/>
      <c r="AE175" s="4"/>
      <c r="AF175" s="4"/>
      <c r="AG175" s="4"/>
      <c r="AH175" s="4"/>
      <c r="AI175" s="4"/>
      <c r="AJ175" s="4"/>
      <c r="AK175" s="4"/>
      <c r="AL175" s="4"/>
      <c r="AM175" s="4"/>
      <c r="AN175" s="4"/>
    </row>
    <row r="176" spans="1:40" x14ac:dyDescent="0.2">
      <c r="A176" s="4"/>
      <c r="S176" s="113"/>
      <c r="T176" s="4"/>
      <c r="U176" s="4"/>
      <c r="V176" s="4"/>
      <c r="W176" s="4"/>
      <c r="X176" s="4"/>
      <c r="Y176" s="4"/>
      <c r="Z176" s="4"/>
      <c r="AA176" s="4"/>
      <c r="AB176" s="4"/>
      <c r="AC176" s="4"/>
      <c r="AD176" s="4"/>
      <c r="AE176" s="4"/>
      <c r="AF176" s="4"/>
      <c r="AG176" s="4"/>
      <c r="AH176" s="4"/>
      <c r="AI176" s="4"/>
      <c r="AJ176" s="4"/>
      <c r="AK176" s="4"/>
      <c r="AL176" s="4"/>
      <c r="AM176" s="4"/>
      <c r="AN176" s="4"/>
    </row>
    <row r="177" spans="1:40" x14ac:dyDescent="0.2">
      <c r="A177" s="4"/>
      <c r="S177" s="113"/>
      <c r="T177" s="4"/>
      <c r="U177" s="4"/>
      <c r="V177" s="4"/>
      <c r="W177" s="4"/>
      <c r="X177" s="4"/>
      <c r="Y177" s="4"/>
      <c r="Z177" s="4"/>
      <c r="AA177" s="4"/>
      <c r="AB177" s="4"/>
      <c r="AC177" s="4"/>
      <c r="AD177" s="4"/>
      <c r="AE177" s="4"/>
      <c r="AF177" s="4"/>
      <c r="AG177" s="4"/>
      <c r="AH177" s="4"/>
      <c r="AI177" s="4"/>
      <c r="AJ177" s="4"/>
      <c r="AK177" s="4"/>
      <c r="AL177" s="4"/>
      <c r="AM177" s="4"/>
      <c r="AN177" s="4"/>
    </row>
    <row r="178" spans="1:40" x14ac:dyDescent="0.2">
      <c r="A178" s="4"/>
      <c r="S178" s="113"/>
      <c r="T178" s="4"/>
      <c r="U178" s="4"/>
      <c r="V178" s="4"/>
      <c r="W178" s="4"/>
      <c r="X178" s="4"/>
      <c r="Y178" s="4"/>
      <c r="Z178" s="4"/>
      <c r="AA178" s="4"/>
      <c r="AB178" s="4"/>
      <c r="AC178" s="4"/>
      <c r="AD178" s="4"/>
      <c r="AE178" s="4"/>
      <c r="AF178" s="4"/>
      <c r="AG178" s="4"/>
      <c r="AH178" s="4"/>
      <c r="AI178" s="4"/>
      <c r="AJ178" s="4"/>
      <c r="AK178" s="4"/>
      <c r="AL178" s="4"/>
      <c r="AM178" s="4"/>
      <c r="AN178" s="4"/>
    </row>
    <row r="179" spans="1:40" x14ac:dyDescent="0.2">
      <c r="A179" s="4"/>
      <c r="S179" s="113"/>
      <c r="T179" s="4"/>
      <c r="U179" s="4"/>
      <c r="V179" s="4"/>
      <c r="W179" s="4"/>
      <c r="X179" s="4"/>
      <c r="Y179" s="4"/>
      <c r="Z179" s="4"/>
      <c r="AA179" s="4"/>
      <c r="AB179" s="4"/>
      <c r="AC179" s="4"/>
      <c r="AD179" s="4"/>
      <c r="AE179" s="4"/>
      <c r="AF179" s="4"/>
      <c r="AG179" s="4"/>
      <c r="AH179" s="4"/>
      <c r="AI179" s="4"/>
      <c r="AJ179" s="4"/>
      <c r="AK179" s="4"/>
      <c r="AL179" s="4"/>
      <c r="AM179" s="4"/>
      <c r="AN179" s="4"/>
    </row>
    <row r="180" spans="1:40" x14ac:dyDescent="0.2">
      <c r="A180" s="4"/>
      <c r="S180" s="113"/>
      <c r="T180" s="4"/>
      <c r="U180" s="4"/>
      <c r="V180" s="4"/>
      <c r="W180" s="4"/>
      <c r="X180" s="4"/>
      <c r="Y180" s="4"/>
      <c r="Z180" s="4"/>
      <c r="AA180" s="4"/>
      <c r="AB180" s="4"/>
      <c r="AC180" s="4"/>
      <c r="AD180" s="4"/>
      <c r="AE180" s="4"/>
      <c r="AF180" s="4"/>
      <c r="AG180" s="4"/>
      <c r="AH180" s="4"/>
      <c r="AI180" s="4"/>
      <c r="AJ180" s="4"/>
      <c r="AK180" s="4"/>
      <c r="AL180" s="4"/>
      <c r="AM180" s="4"/>
      <c r="AN180" s="4"/>
    </row>
    <row r="181" spans="1:40" x14ac:dyDescent="0.2">
      <c r="A181" s="4"/>
      <c r="S181" s="113"/>
      <c r="T181" s="4"/>
      <c r="U181" s="4"/>
      <c r="V181" s="4"/>
      <c r="W181" s="4"/>
      <c r="X181" s="4"/>
      <c r="Y181" s="4"/>
      <c r="Z181" s="4"/>
      <c r="AA181" s="4"/>
      <c r="AB181" s="4"/>
      <c r="AC181" s="4"/>
      <c r="AD181" s="4"/>
      <c r="AE181" s="4"/>
      <c r="AF181" s="4"/>
      <c r="AG181" s="4"/>
      <c r="AH181" s="4"/>
      <c r="AI181" s="4"/>
      <c r="AJ181" s="4"/>
      <c r="AK181" s="4"/>
      <c r="AL181" s="4"/>
      <c r="AM181" s="4"/>
      <c r="AN181" s="4"/>
    </row>
    <row r="182" spans="1:40" x14ac:dyDescent="0.2">
      <c r="A182" s="4"/>
      <c r="S182" s="113"/>
      <c r="T182" s="4"/>
      <c r="U182" s="4"/>
      <c r="V182" s="4"/>
      <c r="W182" s="4"/>
      <c r="X182" s="4"/>
      <c r="Y182" s="4"/>
      <c r="Z182" s="4"/>
      <c r="AA182" s="4"/>
      <c r="AB182" s="4"/>
      <c r="AC182" s="4"/>
      <c r="AD182" s="4"/>
      <c r="AE182" s="4"/>
      <c r="AF182" s="4"/>
      <c r="AG182" s="4"/>
      <c r="AH182" s="4"/>
      <c r="AI182" s="4"/>
      <c r="AJ182" s="4"/>
      <c r="AK182" s="4"/>
      <c r="AL182" s="4"/>
      <c r="AM182" s="4"/>
      <c r="AN182" s="4"/>
    </row>
    <row r="183" spans="1:40" x14ac:dyDescent="0.2">
      <c r="A183" s="4"/>
      <c r="S183" s="113"/>
      <c r="T183" s="4"/>
      <c r="U183" s="4"/>
      <c r="V183" s="4"/>
      <c r="W183" s="4"/>
      <c r="X183" s="4"/>
      <c r="Y183" s="4"/>
      <c r="Z183" s="4"/>
      <c r="AA183" s="4"/>
      <c r="AB183" s="4"/>
      <c r="AC183" s="4"/>
      <c r="AD183" s="4"/>
      <c r="AE183" s="4"/>
      <c r="AF183" s="4"/>
      <c r="AG183" s="4"/>
      <c r="AH183" s="4"/>
      <c r="AI183" s="4"/>
      <c r="AJ183" s="4"/>
      <c r="AK183" s="4"/>
      <c r="AL183" s="4"/>
      <c r="AM183" s="4"/>
      <c r="AN183" s="4"/>
    </row>
    <row r="184" spans="1:40" x14ac:dyDescent="0.2">
      <c r="A184" s="4"/>
      <c r="S184" s="113"/>
      <c r="T184" s="4"/>
      <c r="U184" s="4"/>
      <c r="V184" s="4"/>
      <c r="W184" s="4"/>
      <c r="X184" s="4"/>
      <c r="Y184" s="4"/>
      <c r="Z184" s="4"/>
      <c r="AA184" s="4"/>
      <c r="AB184" s="4"/>
      <c r="AC184" s="4"/>
      <c r="AD184" s="4"/>
      <c r="AE184" s="4"/>
      <c r="AF184" s="4"/>
      <c r="AG184" s="4"/>
      <c r="AH184" s="4"/>
      <c r="AI184" s="4"/>
      <c r="AJ184" s="4"/>
      <c r="AK184" s="4"/>
      <c r="AL184" s="4"/>
      <c r="AM184" s="4"/>
      <c r="AN184" s="4"/>
    </row>
    <row r="185" spans="1:40" x14ac:dyDescent="0.2">
      <c r="A185" s="4"/>
      <c r="S185" s="113"/>
      <c r="T185" s="4"/>
      <c r="U185" s="4"/>
      <c r="V185" s="4"/>
      <c r="W185" s="4"/>
      <c r="X185" s="4"/>
      <c r="Y185" s="4"/>
      <c r="Z185" s="4"/>
      <c r="AA185" s="4"/>
      <c r="AB185" s="4"/>
      <c r="AC185" s="4"/>
      <c r="AD185" s="4"/>
      <c r="AE185" s="4"/>
      <c r="AF185" s="4"/>
      <c r="AG185" s="4"/>
      <c r="AH185" s="4"/>
      <c r="AI185" s="4"/>
      <c r="AJ185" s="4"/>
      <c r="AK185" s="4"/>
      <c r="AL185" s="4"/>
      <c r="AM185" s="4"/>
      <c r="AN185" s="4"/>
    </row>
    <row r="186" spans="1:40" x14ac:dyDescent="0.2">
      <c r="A186" s="4"/>
      <c r="S186" s="113"/>
      <c r="T186" s="4"/>
      <c r="U186" s="4"/>
      <c r="V186" s="4"/>
      <c r="W186" s="4"/>
      <c r="X186" s="4"/>
      <c r="Y186" s="4"/>
      <c r="Z186" s="4"/>
      <c r="AA186" s="4"/>
      <c r="AB186" s="4"/>
      <c r="AC186" s="4"/>
      <c r="AD186" s="4"/>
      <c r="AE186" s="4"/>
      <c r="AF186" s="4"/>
      <c r="AG186" s="4"/>
      <c r="AH186" s="4"/>
      <c r="AI186" s="4"/>
      <c r="AJ186" s="4"/>
      <c r="AK186" s="4"/>
      <c r="AL186" s="4"/>
      <c r="AM186" s="4"/>
      <c r="AN186" s="4"/>
    </row>
    <row r="187" spans="1:40" x14ac:dyDescent="0.2">
      <c r="A187" s="4"/>
      <c r="S187" s="113"/>
      <c r="T187" s="4"/>
      <c r="U187" s="4"/>
      <c r="V187" s="4"/>
      <c r="W187" s="4"/>
      <c r="X187" s="4"/>
      <c r="Y187" s="4"/>
      <c r="Z187" s="4"/>
      <c r="AA187" s="4"/>
      <c r="AB187" s="4"/>
      <c r="AC187" s="4"/>
      <c r="AD187" s="4"/>
      <c r="AE187" s="4"/>
      <c r="AF187" s="4"/>
      <c r="AG187" s="4"/>
      <c r="AH187" s="4"/>
      <c r="AI187" s="4"/>
      <c r="AJ187" s="4"/>
      <c r="AK187" s="4"/>
      <c r="AL187" s="4"/>
      <c r="AM187" s="4"/>
      <c r="AN187" s="4"/>
    </row>
    <row r="188" spans="1:40" x14ac:dyDescent="0.2">
      <c r="A188" s="4"/>
      <c r="S188" s="113"/>
      <c r="T188" s="4"/>
      <c r="U188" s="4"/>
      <c r="V188" s="4"/>
      <c r="W188" s="4"/>
      <c r="X188" s="4"/>
      <c r="Y188" s="4"/>
      <c r="Z188" s="4"/>
      <c r="AA188" s="4"/>
      <c r="AB188" s="4"/>
      <c r="AC188" s="4"/>
      <c r="AD188" s="4"/>
      <c r="AE188" s="4"/>
      <c r="AF188" s="4"/>
      <c r="AG188" s="4"/>
      <c r="AH188" s="4"/>
      <c r="AI188" s="4"/>
      <c r="AJ188" s="4"/>
      <c r="AK188" s="4"/>
      <c r="AL188" s="4"/>
      <c r="AM188" s="4"/>
      <c r="AN188" s="4"/>
    </row>
    <row r="189" spans="1:40" x14ac:dyDescent="0.2">
      <c r="A189" s="4"/>
      <c r="S189" s="113"/>
      <c r="T189" s="4"/>
      <c r="U189" s="4"/>
      <c r="V189" s="4"/>
      <c r="W189" s="4"/>
      <c r="X189" s="4"/>
      <c r="Y189" s="4"/>
      <c r="Z189" s="4"/>
      <c r="AA189" s="4"/>
      <c r="AB189" s="4"/>
      <c r="AC189" s="4"/>
      <c r="AD189" s="4"/>
      <c r="AE189" s="4"/>
      <c r="AF189" s="4"/>
      <c r="AG189" s="4"/>
      <c r="AH189" s="4"/>
      <c r="AI189" s="4"/>
      <c r="AJ189" s="4"/>
      <c r="AK189" s="4"/>
      <c r="AL189" s="4"/>
      <c r="AM189" s="4"/>
      <c r="AN189" s="4"/>
    </row>
    <row r="190" spans="1:40" x14ac:dyDescent="0.2">
      <c r="A190" s="4"/>
      <c r="S190" s="113"/>
      <c r="T190" s="4"/>
      <c r="U190" s="4"/>
      <c r="V190" s="4"/>
      <c r="W190" s="4"/>
      <c r="X190" s="4"/>
      <c r="Y190" s="4"/>
      <c r="Z190" s="4"/>
      <c r="AA190" s="4"/>
      <c r="AB190" s="4"/>
      <c r="AC190" s="4"/>
      <c r="AD190" s="4"/>
      <c r="AE190" s="4"/>
      <c r="AF190" s="4"/>
      <c r="AG190" s="4"/>
      <c r="AH190" s="4"/>
      <c r="AI190" s="4"/>
      <c r="AJ190" s="4"/>
      <c r="AK190" s="4"/>
      <c r="AL190" s="4"/>
      <c r="AM190" s="4"/>
      <c r="AN190" s="4"/>
    </row>
    <row r="191" spans="1:40" x14ac:dyDescent="0.2">
      <c r="A191" s="4"/>
      <c r="S191" s="113"/>
      <c r="T191" s="4"/>
      <c r="U191" s="4"/>
      <c r="V191" s="4"/>
      <c r="W191" s="4"/>
      <c r="X191" s="4"/>
      <c r="Y191" s="4"/>
      <c r="Z191" s="4"/>
      <c r="AA191" s="4"/>
      <c r="AB191" s="4"/>
      <c r="AC191" s="4"/>
      <c r="AD191" s="4"/>
      <c r="AE191" s="4"/>
      <c r="AF191" s="4"/>
      <c r="AG191" s="4"/>
      <c r="AH191" s="4"/>
      <c r="AI191" s="4"/>
      <c r="AJ191" s="4"/>
      <c r="AK191" s="4"/>
      <c r="AL191" s="4"/>
      <c r="AM191" s="4"/>
      <c r="AN191" s="4"/>
    </row>
    <row r="192" spans="1:40" x14ac:dyDescent="0.2">
      <c r="A192" s="4"/>
      <c r="S192" s="113"/>
      <c r="T192" s="4"/>
      <c r="U192" s="4"/>
      <c r="V192" s="4"/>
      <c r="W192" s="4"/>
      <c r="X192" s="4"/>
      <c r="Y192" s="4"/>
      <c r="Z192" s="4"/>
      <c r="AA192" s="4"/>
      <c r="AB192" s="4"/>
      <c r="AC192" s="4"/>
      <c r="AD192" s="4"/>
      <c r="AE192" s="4"/>
      <c r="AF192" s="4"/>
      <c r="AG192" s="4"/>
      <c r="AH192" s="4"/>
      <c r="AI192" s="4"/>
      <c r="AJ192" s="4"/>
      <c r="AK192" s="4"/>
      <c r="AL192" s="4"/>
      <c r="AM192" s="4"/>
      <c r="AN192" s="4"/>
    </row>
    <row r="193" spans="1:40" x14ac:dyDescent="0.2">
      <c r="A193" s="4"/>
      <c r="S193" s="113"/>
      <c r="T193" s="4"/>
      <c r="U193" s="4"/>
      <c r="V193" s="4"/>
      <c r="W193" s="4"/>
      <c r="X193" s="4"/>
      <c r="Y193" s="4"/>
      <c r="Z193" s="4"/>
      <c r="AA193" s="4"/>
      <c r="AB193" s="4"/>
      <c r="AC193" s="4"/>
      <c r="AD193" s="4"/>
      <c r="AE193" s="4"/>
      <c r="AF193" s="4"/>
      <c r="AG193" s="4"/>
      <c r="AH193" s="4"/>
      <c r="AI193" s="4"/>
      <c r="AJ193" s="4"/>
      <c r="AK193" s="4"/>
      <c r="AL193" s="4"/>
      <c r="AM193" s="4"/>
      <c r="AN193" s="4"/>
    </row>
    <row r="194" spans="1:40" x14ac:dyDescent="0.2">
      <c r="A194" s="4"/>
      <c r="S194" s="113"/>
      <c r="T194" s="4"/>
      <c r="U194" s="4"/>
      <c r="V194" s="4"/>
      <c r="W194" s="4"/>
      <c r="X194" s="4"/>
      <c r="Y194" s="4"/>
      <c r="Z194" s="4"/>
      <c r="AA194" s="4"/>
      <c r="AB194" s="4"/>
      <c r="AC194" s="4"/>
      <c r="AD194" s="4"/>
      <c r="AE194" s="4"/>
      <c r="AF194" s="4"/>
      <c r="AG194" s="4"/>
      <c r="AH194" s="4"/>
      <c r="AI194" s="4"/>
      <c r="AJ194" s="4"/>
      <c r="AK194" s="4"/>
      <c r="AL194" s="4"/>
      <c r="AM194" s="4"/>
      <c r="AN194" s="4"/>
    </row>
    <row r="195" spans="1:40" x14ac:dyDescent="0.2">
      <c r="A195" s="4"/>
      <c r="S195" s="113"/>
      <c r="T195" s="4"/>
      <c r="U195" s="4"/>
      <c r="V195" s="4"/>
      <c r="W195" s="4"/>
      <c r="X195" s="4"/>
      <c r="Y195" s="4"/>
      <c r="Z195" s="4"/>
      <c r="AA195" s="4"/>
      <c r="AB195" s="4"/>
      <c r="AC195" s="4"/>
      <c r="AD195" s="4"/>
      <c r="AE195" s="4"/>
      <c r="AF195" s="4"/>
      <c r="AG195" s="4"/>
      <c r="AH195" s="4"/>
      <c r="AI195" s="4"/>
      <c r="AJ195" s="4"/>
      <c r="AK195" s="4"/>
      <c r="AL195" s="4"/>
      <c r="AM195" s="4"/>
      <c r="AN195" s="4"/>
    </row>
    <row r="196" spans="1:40" x14ac:dyDescent="0.2">
      <c r="A196" s="4"/>
      <c r="S196" s="113"/>
      <c r="T196" s="4"/>
      <c r="U196" s="4"/>
      <c r="V196" s="4"/>
      <c r="W196" s="4"/>
      <c r="X196" s="4"/>
      <c r="Y196" s="4"/>
      <c r="Z196" s="4"/>
      <c r="AA196" s="4"/>
      <c r="AB196" s="4"/>
      <c r="AC196" s="4"/>
      <c r="AD196" s="4"/>
      <c r="AE196" s="4"/>
      <c r="AF196" s="4"/>
      <c r="AG196" s="4"/>
      <c r="AH196" s="4"/>
      <c r="AI196" s="4"/>
      <c r="AJ196" s="4"/>
      <c r="AK196" s="4"/>
      <c r="AL196" s="4"/>
      <c r="AM196" s="4"/>
      <c r="AN196" s="4"/>
    </row>
    <row r="197" spans="1:40" x14ac:dyDescent="0.2">
      <c r="A197" s="4"/>
      <c r="S197" s="113"/>
      <c r="T197" s="4"/>
      <c r="U197" s="4"/>
      <c r="V197" s="4"/>
      <c r="W197" s="4"/>
      <c r="X197" s="4"/>
      <c r="Y197" s="4"/>
      <c r="Z197" s="4"/>
      <c r="AA197" s="4"/>
      <c r="AB197" s="4"/>
      <c r="AC197" s="4"/>
      <c r="AD197" s="4"/>
      <c r="AE197" s="4"/>
      <c r="AF197" s="4"/>
      <c r="AG197" s="4"/>
      <c r="AH197" s="4"/>
      <c r="AI197" s="4"/>
      <c r="AJ197" s="4"/>
      <c r="AK197" s="4"/>
      <c r="AL197" s="4"/>
      <c r="AM197" s="4"/>
      <c r="AN197" s="4"/>
    </row>
    <row r="198" spans="1:40" x14ac:dyDescent="0.2">
      <c r="A198" s="4"/>
      <c r="S198" s="113"/>
      <c r="T198" s="4"/>
      <c r="U198" s="4"/>
      <c r="V198" s="4"/>
      <c r="W198" s="4"/>
      <c r="X198" s="4"/>
      <c r="Y198" s="4"/>
      <c r="Z198" s="4"/>
      <c r="AA198" s="4"/>
      <c r="AB198" s="4"/>
      <c r="AC198" s="4"/>
      <c r="AD198" s="4"/>
      <c r="AE198" s="4"/>
      <c r="AF198" s="4"/>
      <c r="AG198" s="4"/>
      <c r="AH198" s="4"/>
      <c r="AI198" s="4"/>
      <c r="AJ198" s="4"/>
      <c r="AK198" s="4"/>
      <c r="AL198" s="4"/>
      <c r="AM198" s="4"/>
      <c r="AN198" s="4"/>
    </row>
    <row r="199" spans="1:40" x14ac:dyDescent="0.2">
      <c r="A199" s="4"/>
      <c r="S199" s="113"/>
      <c r="T199" s="4"/>
      <c r="U199" s="4"/>
      <c r="V199" s="4"/>
      <c r="W199" s="4"/>
      <c r="X199" s="4"/>
      <c r="Y199" s="4"/>
      <c r="Z199" s="4"/>
      <c r="AA199" s="4"/>
      <c r="AB199" s="4"/>
      <c r="AC199" s="4"/>
      <c r="AD199" s="4"/>
      <c r="AE199" s="4"/>
      <c r="AF199" s="4"/>
      <c r="AG199" s="4"/>
      <c r="AH199" s="4"/>
      <c r="AI199" s="4"/>
      <c r="AJ199" s="4"/>
      <c r="AK199" s="4"/>
      <c r="AL199" s="4"/>
      <c r="AM199" s="4"/>
      <c r="AN199" s="4"/>
    </row>
    <row r="200" spans="1:40" x14ac:dyDescent="0.2">
      <c r="A200" s="4"/>
      <c r="S200" s="113"/>
      <c r="T200" s="4"/>
      <c r="U200" s="4"/>
      <c r="V200" s="4"/>
      <c r="W200" s="4"/>
      <c r="X200" s="4"/>
      <c r="Y200" s="4"/>
      <c r="Z200" s="4"/>
      <c r="AA200" s="4"/>
      <c r="AB200" s="4"/>
      <c r="AC200" s="4"/>
      <c r="AD200" s="4"/>
      <c r="AE200" s="4"/>
      <c r="AF200" s="4"/>
      <c r="AG200" s="4"/>
      <c r="AH200" s="4"/>
      <c r="AI200" s="4"/>
      <c r="AJ200" s="4"/>
      <c r="AK200" s="4"/>
      <c r="AL200" s="4"/>
      <c r="AM200" s="4"/>
      <c r="AN200" s="4"/>
    </row>
    <row r="201" spans="1:40" x14ac:dyDescent="0.2">
      <c r="A201" s="4"/>
      <c r="S201" s="113"/>
      <c r="T201" s="4"/>
      <c r="U201" s="4"/>
      <c r="V201" s="4"/>
      <c r="W201" s="4"/>
      <c r="X201" s="4"/>
      <c r="Y201" s="4"/>
      <c r="Z201" s="4"/>
      <c r="AA201" s="4"/>
      <c r="AB201" s="4"/>
      <c r="AC201" s="4"/>
      <c r="AD201" s="4"/>
      <c r="AE201" s="4"/>
      <c r="AF201" s="4"/>
      <c r="AG201" s="4"/>
      <c r="AH201" s="4"/>
      <c r="AI201" s="4"/>
      <c r="AJ201" s="4"/>
      <c r="AK201" s="4"/>
      <c r="AL201" s="4"/>
      <c r="AM201" s="4"/>
      <c r="AN201" s="4"/>
    </row>
    <row r="202" spans="1:40" x14ac:dyDescent="0.2">
      <c r="A202" s="4"/>
      <c r="S202" s="113"/>
      <c r="T202" s="4"/>
      <c r="U202" s="4"/>
      <c r="V202" s="4"/>
      <c r="W202" s="4"/>
      <c r="X202" s="4"/>
      <c r="Y202" s="4"/>
      <c r="Z202" s="4"/>
      <c r="AA202" s="4"/>
      <c r="AB202" s="4"/>
      <c r="AC202" s="4"/>
      <c r="AD202" s="4"/>
      <c r="AE202" s="4"/>
      <c r="AF202" s="4"/>
      <c r="AG202" s="4"/>
      <c r="AH202" s="4"/>
      <c r="AI202" s="4"/>
      <c r="AJ202" s="4"/>
      <c r="AK202" s="4"/>
      <c r="AL202" s="4"/>
      <c r="AM202" s="4"/>
      <c r="AN202" s="4"/>
    </row>
    <row r="203" spans="1:40" x14ac:dyDescent="0.2">
      <c r="A203" s="4"/>
      <c r="S203" s="113"/>
      <c r="T203" s="4"/>
      <c r="U203" s="4"/>
      <c r="V203" s="4"/>
      <c r="W203" s="4"/>
      <c r="X203" s="4"/>
      <c r="Y203" s="4"/>
      <c r="Z203" s="4"/>
      <c r="AA203" s="4"/>
      <c r="AB203" s="4"/>
      <c r="AC203" s="4"/>
      <c r="AD203" s="4"/>
      <c r="AE203" s="4"/>
      <c r="AF203" s="4"/>
      <c r="AG203" s="4"/>
      <c r="AH203" s="4"/>
      <c r="AI203" s="4"/>
      <c r="AJ203" s="4"/>
      <c r="AK203" s="4"/>
      <c r="AL203" s="4"/>
      <c r="AM203" s="4"/>
      <c r="AN203" s="4"/>
    </row>
    <row r="204" spans="1:40" x14ac:dyDescent="0.2">
      <c r="A204" s="4"/>
      <c r="S204" s="113"/>
      <c r="T204" s="4"/>
      <c r="U204" s="4"/>
      <c r="V204" s="4"/>
      <c r="W204" s="4"/>
      <c r="X204" s="4"/>
      <c r="Y204" s="4"/>
      <c r="Z204" s="4"/>
      <c r="AA204" s="4"/>
      <c r="AB204" s="4"/>
      <c r="AC204" s="4"/>
      <c r="AD204" s="4"/>
      <c r="AE204" s="4"/>
      <c r="AF204" s="4"/>
      <c r="AG204" s="4"/>
      <c r="AH204" s="4"/>
      <c r="AI204" s="4"/>
      <c r="AJ204" s="4"/>
      <c r="AK204" s="4"/>
      <c r="AL204" s="4"/>
      <c r="AM204" s="4"/>
      <c r="AN204" s="4"/>
    </row>
  </sheetData>
  <sheetProtection algorithmName="SHA-512" hashValue="FkxzojPieyPSi+CipCKoM5pnceWNQJGwM5F0/yO6XokDdAKuS2hAvyaPlfGZdAKdkUWaNDo+O6yc1ngP3booKQ==" saltValue="6FesQi2wPtFroGtUUzbvBA==" spinCount="100000" sheet="1" selectLockedCells="1"/>
  <mergeCells count="2">
    <mergeCell ref="B1:O1"/>
    <mergeCell ref="G3:J3"/>
  </mergeCells>
  <conditionalFormatting sqref="G5:J34">
    <cfRule type="expression" dxfId="152" priority="1">
      <formula>$E5=""</formula>
    </cfRule>
  </conditionalFormatting>
  <dataValidations count="2">
    <dataValidation type="list" allowBlank="1" showInputMessage="1" showErrorMessage="1" sqref="G6:G34 G5" xr:uid="{8F523584-AFBA-4584-B422-4C8A10CA7942}">
      <formula1>List_EffWindow_Direction</formula1>
    </dataValidation>
    <dataValidation type="list" allowBlank="1" showInputMessage="1" showErrorMessage="1" sqref="E5:E34" xr:uid="{690A4897-E60B-44A3-95D0-DB9C586E4DCB}">
      <formula1>List_EffWindow_Measure</formula1>
    </dataValidation>
  </dataValidations>
  <pageMargins left="0.7" right="0.7" top="0.75" bottom="0.75" header="0.3" footer="0.3"/>
  <pageSetup scale="75" fitToWidth="0" fitToHeight="0" orientation="landscape" verticalDpi="4294967293" r:id="rId1"/>
  <drawing r:id="rId2"/>
  <legacyDrawing r:id="rId3"/>
  <tableParts count="1">
    <tablePart r:id="rId4"/>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03CB4-A43F-4ED1-977B-2A8AD658E279}">
  <sheetPr>
    <tabColor theme="4"/>
  </sheetPr>
  <dimension ref="A1:AM204"/>
  <sheetViews>
    <sheetView showGridLines="0" showRowColHeaders="0" workbookViewId="0">
      <selection activeCell="D5" sqref="D5"/>
    </sheetView>
  </sheetViews>
  <sheetFormatPr defaultColWidth="9.140625" defaultRowHeight="12.75" customHeight="1" x14ac:dyDescent="0.2"/>
  <cols>
    <col min="1" max="1" width="2.140625" customWidth="1"/>
    <col min="2" max="2" width="5.28515625" customWidth="1"/>
    <col min="3" max="3" width="8.140625" customWidth="1"/>
    <col min="4" max="4" width="17.42578125" customWidth="1"/>
    <col min="5" max="6" width="29.85546875" customWidth="1"/>
    <col min="7" max="7" width="11.5703125" customWidth="1"/>
    <col min="8" max="8" width="12.42578125" customWidth="1"/>
    <col min="9" max="9" width="9.85546875" customWidth="1"/>
    <col min="10" max="10" width="10" customWidth="1"/>
    <col min="11" max="11" width="11" customWidth="1"/>
    <col min="12" max="12" width="12" customWidth="1"/>
    <col min="13" max="13" width="11.85546875" customWidth="1"/>
    <col min="14" max="15" width="10.28515625" customWidth="1"/>
    <col min="16" max="16" width="13.42578125" customWidth="1"/>
    <col min="17" max="17" width="9.5703125" customWidth="1"/>
  </cols>
  <sheetData>
    <row r="1" spans="1:39" ht="37.5" customHeight="1" x14ac:dyDescent="0.2">
      <c r="B1" s="253" t="s">
        <v>125</v>
      </c>
      <c r="C1" s="253"/>
      <c r="D1" s="253"/>
      <c r="E1" s="253"/>
      <c r="F1" s="253"/>
      <c r="G1" s="253"/>
      <c r="H1" s="253"/>
      <c r="I1" s="253"/>
      <c r="J1" s="253"/>
      <c r="K1" s="253"/>
      <c r="L1" s="253"/>
      <c r="M1" s="253"/>
      <c r="N1" s="253"/>
      <c r="O1" s="151"/>
      <c r="P1" s="151"/>
      <c r="Q1" s="151"/>
    </row>
    <row r="2" spans="1:39" x14ac:dyDescent="0.2">
      <c r="K2" s="4"/>
    </row>
    <row r="3" spans="1:39" x14ac:dyDescent="0.2">
      <c r="A3" s="4"/>
      <c r="G3" s="282" t="s">
        <v>75</v>
      </c>
      <c r="H3" s="283"/>
      <c r="I3" s="284"/>
      <c r="J3" s="84" t="s">
        <v>76</v>
      </c>
      <c r="K3" s="145">
        <f>SUM(Table_Controls_Input22[Estimated Incentive])</f>
        <v>0</v>
      </c>
      <c r="L3" s="83">
        <f>SUM(Table_Controls_Input22[Energy Savings (kWh)])</f>
        <v>0</v>
      </c>
      <c r="M3" s="82">
        <f>SUM(Table_Controls_Input22[Demand Reduction (kW)])</f>
        <v>0</v>
      </c>
      <c r="N3" s="146">
        <f>SUM(Table_Controls_Input22[Cost Savings])</f>
        <v>0</v>
      </c>
      <c r="O3" s="146">
        <f>SUM(Table_Controls_Input22[Gross Measure Cost])</f>
        <v>0</v>
      </c>
      <c r="P3" s="146">
        <f>SUM(Table_Controls_Input22[Net Measure Cost])</f>
        <v>0</v>
      </c>
      <c r="Q3" s="83" t="str">
        <f>IFERROR(P3/N3,"")</f>
        <v/>
      </c>
      <c r="R3" s="4"/>
      <c r="S3" s="4"/>
      <c r="T3" s="4"/>
      <c r="U3" s="4"/>
      <c r="V3" s="4"/>
      <c r="W3" s="4"/>
      <c r="X3" s="4"/>
      <c r="Y3" s="4"/>
      <c r="Z3" s="4"/>
      <c r="AA3" s="4"/>
      <c r="AB3" s="4"/>
      <c r="AC3" s="4"/>
      <c r="AD3" s="4"/>
      <c r="AE3" s="4"/>
      <c r="AF3" s="4"/>
      <c r="AG3" s="4"/>
      <c r="AH3" s="4"/>
      <c r="AI3" s="4"/>
      <c r="AJ3" s="4"/>
      <c r="AK3" s="4"/>
      <c r="AL3" s="4"/>
      <c r="AM3" s="4"/>
    </row>
    <row r="4" spans="1:39" ht="38.25" x14ac:dyDescent="0.2">
      <c r="A4" s="16"/>
      <c r="B4" s="62" t="s">
        <v>77</v>
      </c>
      <c r="C4" s="63" t="s">
        <v>78</v>
      </c>
      <c r="D4" s="66" t="s">
        <v>79</v>
      </c>
      <c r="E4" s="63" t="s">
        <v>126</v>
      </c>
      <c r="F4" s="64" t="s">
        <v>81</v>
      </c>
      <c r="G4" s="65" t="s">
        <v>82</v>
      </c>
      <c r="H4" s="65" t="s">
        <v>86</v>
      </c>
      <c r="I4" s="65" t="s">
        <v>87</v>
      </c>
      <c r="J4" s="64" t="s">
        <v>88</v>
      </c>
      <c r="K4" s="64" t="s">
        <v>89</v>
      </c>
      <c r="L4" s="64" t="s">
        <v>90</v>
      </c>
      <c r="M4" s="64" t="s">
        <v>91</v>
      </c>
      <c r="N4" s="64" t="s">
        <v>92</v>
      </c>
      <c r="O4" s="64" t="s">
        <v>93</v>
      </c>
      <c r="P4" s="64" t="s">
        <v>94</v>
      </c>
      <c r="Q4" s="64" t="s">
        <v>95</v>
      </c>
      <c r="R4" s="16"/>
      <c r="S4" s="16"/>
      <c r="T4" s="16"/>
      <c r="U4" s="16"/>
      <c r="V4" s="16"/>
      <c r="W4" s="16"/>
      <c r="X4" s="16"/>
      <c r="Y4" s="16"/>
      <c r="Z4" s="16"/>
      <c r="AA4" s="16"/>
      <c r="AB4" s="16"/>
      <c r="AC4" s="16"/>
      <c r="AD4" s="16"/>
      <c r="AE4" s="16"/>
      <c r="AF4" s="16"/>
      <c r="AG4" s="16"/>
      <c r="AH4" s="16"/>
      <c r="AI4" s="16"/>
      <c r="AJ4" s="16"/>
      <c r="AK4" s="16"/>
      <c r="AL4" s="16"/>
      <c r="AM4" s="16"/>
    </row>
    <row r="5" spans="1:39" x14ac:dyDescent="0.2">
      <c r="A5" s="3"/>
      <c r="B5" s="71">
        <v>1</v>
      </c>
      <c r="C5" s="69" t="str">
        <f>IFERROR(INDEX(Table_Prescript_Meas[Measure Number], MATCH(E5, Table_Prescript_Meas[Measure Description], 0)), "")</f>
        <v/>
      </c>
      <c r="D5" s="61"/>
      <c r="E5" s="60"/>
      <c r="F5" s="69" t="str">
        <f>IFERROR(INDEX(Table_Prescript_Meas[Units], MATCH(Table_Controls_Input22[[#This Row],[Measure Number]], Table_Prescript_Meas[Measure Number], 0)), "")</f>
        <v/>
      </c>
      <c r="G5" s="60"/>
      <c r="H5" s="73"/>
      <c r="I5" s="73"/>
      <c r="J5"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5" s="74" t="str">
        <f>IFERROR(Table_Controls_Input22[[#This Row],[Number of Units]]*Table_Controls_Input22[[#This Row],[Per-Unit Incentive]], "")</f>
        <v/>
      </c>
      <c r="L5" s="75" t="str">
        <f>IFERROR(Table_Controls_Input22[[#This Row],[Number of Units]]*INDEX(Table_Prescript_Meas[Deemed kWh Savings], MATCH(Table_Controls_Input22[[#This Row],[Measure Number]], Table_Prescript_Meas[Measure Number], 0)),"" )</f>
        <v/>
      </c>
      <c r="M5" s="81" t="str">
        <f>IFERROR(Table_Controls_Input22[[#This Row],[Number of Units]]*INDEX(Table_Prescript_Meas[Deemed kW Savings], MATCH(Table_Controls_Input22[[#This Row],[Measure Number]], Table_Prescript_Meas[Measure Number], 0)),"" )</f>
        <v/>
      </c>
      <c r="N5" s="74" t="str">
        <f t="shared" ref="N5" si="0">IFERROR(L5*Input_AvgkWhRate, "")</f>
        <v/>
      </c>
      <c r="O5" s="74" t="str">
        <f>IF(Table_Controls_Input22[[#This Row],[Measure Number]]="", "", Table_Controls_Input22[[#This Row],[Total Equipment Cost]]+Table_Controls_Input22[[#This Row],[Total Labor Cost]])</f>
        <v/>
      </c>
      <c r="P5" s="74" t="str">
        <f>IFERROR(Table_Controls_Input22[[#This Row],[Gross Measure Cost]]-Table_Controls_Input22[[#This Row],[Estimated Incentive]], "")</f>
        <v/>
      </c>
      <c r="Q5" s="75" t="str">
        <f t="shared" ref="Q5:Q34" si="1">IFERROR($P5/$N5,"")</f>
        <v/>
      </c>
      <c r="R5" s="3"/>
      <c r="S5" s="3"/>
      <c r="T5" s="3"/>
      <c r="U5" s="3"/>
      <c r="V5" s="3"/>
      <c r="W5" s="3"/>
      <c r="X5" s="3"/>
      <c r="Y5" s="3"/>
      <c r="Z5" s="3"/>
      <c r="AA5" s="3"/>
      <c r="AB5" s="3"/>
      <c r="AC5" s="3"/>
      <c r="AD5" s="3"/>
      <c r="AE5" s="3"/>
      <c r="AF5" s="3"/>
      <c r="AG5" s="3"/>
      <c r="AH5" s="3"/>
      <c r="AI5" s="3"/>
      <c r="AJ5" s="3"/>
      <c r="AK5" s="3"/>
      <c r="AL5" s="3"/>
      <c r="AM5" s="3"/>
    </row>
    <row r="6" spans="1:39" x14ac:dyDescent="0.2">
      <c r="A6" s="3"/>
      <c r="B6" s="71">
        <v>2</v>
      </c>
      <c r="C6" s="69" t="str">
        <f>IFERROR(INDEX(Table_Prescript_Meas[Measure Number], MATCH(E6, Table_Prescript_Meas[Measure Description], 0)), "")</f>
        <v/>
      </c>
      <c r="D6" s="61"/>
      <c r="E6" s="60"/>
      <c r="F6" s="69" t="str">
        <f>IFERROR(INDEX(Table_Prescript_Meas[Units], MATCH(Table_Controls_Input22[[#This Row],[Measure Number]], Table_Prescript_Meas[Measure Number], 0)), "")</f>
        <v/>
      </c>
      <c r="G6" s="60"/>
      <c r="H6" s="73"/>
      <c r="I6" s="73"/>
      <c r="J6"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6" s="74" t="str">
        <f>IFERROR(Table_Controls_Input22[[#This Row],[Number of Units]]*Table_Controls_Input22[[#This Row],[Per-Unit Incentive]], "")</f>
        <v/>
      </c>
      <c r="L6" s="75" t="str">
        <f>IFERROR(Table_Controls_Input22[[#This Row],[Number of Units]]*INDEX(Table_Prescript_Meas[Deemed kWh Savings], MATCH(Table_Controls_Input22[[#This Row],[Measure Number]], Table_Prescript_Meas[Measure Number], 0)),"" )</f>
        <v/>
      </c>
      <c r="M6" s="81" t="str">
        <f>IFERROR(Table_Controls_Input22[[#This Row],[Number of Units]]*INDEX(Table_Prescript_Meas[Deemed kW Savings], MATCH(Table_Controls_Input22[[#This Row],[Measure Number]], Table_Prescript_Meas[Measure Number], 0)),"" )</f>
        <v/>
      </c>
      <c r="N6" s="74" t="str">
        <f t="shared" ref="N6:N34" si="2">IFERROR(L6*Input_AvgkWhRate, "")</f>
        <v/>
      </c>
      <c r="O6" s="74" t="str">
        <f>IF(Table_Controls_Input22[[#This Row],[Measure Number]]="", "", Table_Controls_Input22[[#This Row],[Total Equipment Cost]]+Table_Controls_Input22[[#This Row],[Total Labor Cost]])</f>
        <v/>
      </c>
      <c r="P6" s="74" t="str">
        <f>IFERROR(Table_Controls_Input22[[#This Row],[Gross Measure Cost]]-Table_Controls_Input22[[#This Row],[Estimated Incentive]], "")</f>
        <v/>
      </c>
      <c r="Q6" s="75" t="str">
        <f t="shared" si="1"/>
        <v/>
      </c>
      <c r="R6" s="3"/>
      <c r="S6" s="3"/>
      <c r="T6" s="3"/>
      <c r="U6" s="3"/>
      <c r="V6" s="3"/>
      <c r="W6" s="3"/>
      <c r="X6" s="3"/>
      <c r="Y6" s="3"/>
      <c r="Z6" s="3"/>
      <c r="AA6" s="3"/>
      <c r="AB6" s="3"/>
      <c r="AC6" s="3"/>
      <c r="AD6" s="3"/>
      <c r="AE6" s="3"/>
      <c r="AF6" s="3"/>
      <c r="AG6" s="3"/>
      <c r="AH6" s="3"/>
      <c r="AI6" s="3"/>
      <c r="AJ6" s="3"/>
      <c r="AK6" s="3"/>
      <c r="AL6" s="3"/>
      <c r="AM6" s="3"/>
    </row>
    <row r="7" spans="1:39" x14ac:dyDescent="0.2">
      <c r="A7" s="3"/>
      <c r="B7" s="71">
        <v>3</v>
      </c>
      <c r="C7" s="69" t="str">
        <f>IFERROR(INDEX(Table_Prescript_Meas[Measure Number], MATCH(E7, Table_Prescript_Meas[Measure Description], 0)), "")</f>
        <v/>
      </c>
      <c r="D7" s="61"/>
      <c r="E7" s="60"/>
      <c r="F7" s="69" t="str">
        <f>IFERROR(INDEX(Table_Prescript_Meas[Units], MATCH(Table_Controls_Input22[[#This Row],[Measure Number]], Table_Prescript_Meas[Measure Number], 0)), "")</f>
        <v/>
      </c>
      <c r="G7" s="60"/>
      <c r="H7" s="73"/>
      <c r="I7" s="73"/>
      <c r="J7"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7" s="74" t="str">
        <f>IFERROR(Table_Controls_Input22[[#This Row],[Number of Units]]*Table_Controls_Input22[[#This Row],[Per-Unit Incentive]], "")</f>
        <v/>
      </c>
      <c r="L7" s="75" t="str">
        <f>IFERROR(Table_Controls_Input22[[#This Row],[Number of Units]]*INDEX(Table_Prescript_Meas[Deemed kWh Savings], MATCH(Table_Controls_Input22[[#This Row],[Measure Number]], Table_Prescript_Meas[Measure Number], 0)),"" )</f>
        <v/>
      </c>
      <c r="M7" s="81" t="str">
        <f>IFERROR(Table_Controls_Input22[[#This Row],[Number of Units]]*INDEX(Table_Prescript_Meas[Deemed kW Savings], MATCH(Table_Controls_Input22[[#This Row],[Measure Number]], Table_Prescript_Meas[Measure Number], 0)),"" )</f>
        <v/>
      </c>
      <c r="N7" s="74" t="str">
        <f t="shared" si="2"/>
        <v/>
      </c>
      <c r="O7" s="74" t="str">
        <f>IF(Table_Controls_Input22[[#This Row],[Measure Number]]="", "", Table_Controls_Input22[[#This Row],[Total Equipment Cost]]+Table_Controls_Input22[[#This Row],[Total Labor Cost]])</f>
        <v/>
      </c>
      <c r="P7" s="74" t="str">
        <f>IFERROR(Table_Controls_Input22[[#This Row],[Gross Measure Cost]]-Table_Controls_Input22[[#This Row],[Estimated Incentive]], "")</f>
        <v/>
      </c>
      <c r="Q7" s="75" t="str">
        <f t="shared" si="1"/>
        <v/>
      </c>
      <c r="R7" s="3"/>
      <c r="S7" s="3"/>
      <c r="T7" s="3"/>
      <c r="U7" s="3"/>
      <c r="V7" s="3"/>
      <c r="W7" s="3"/>
      <c r="X7" s="3"/>
      <c r="Y7" s="3"/>
      <c r="Z7" s="3"/>
      <c r="AA7" s="3"/>
      <c r="AB7" s="3"/>
      <c r="AC7" s="3"/>
      <c r="AD7" s="3"/>
      <c r="AE7" s="3"/>
      <c r="AF7" s="3"/>
      <c r="AG7" s="3"/>
      <c r="AH7" s="3"/>
      <c r="AI7" s="3"/>
      <c r="AJ7" s="3"/>
      <c r="AK7" s="3"/>
      <c r="AL7" s="3"/>
      <c r="AM7" s="3"/>
    </row>
    <row r="8" spans="1:39" x14ac:dyDescent="0.2">
      <c r="A8" s="3"/>
      <c r="B8" s="71">
        <v>4</v>
      </c>
      <c r="C8" s="69" t="str">
        <f>IFERROR(INDEX(Table_Prescript_Meas[Measure Number], MATCH(E8, Table_Prescript_Meas[Measure Description], 0)), "")</f>
        <v/>
      </c>
      <c r="D8" s="61"/>
      <c r="E8" s="60"/>
      <c r="F8" s="69" t="str">
        <f>IFERROR(INDEX(Table_Prescript_Meas[Units], MATCH(Table_Controls_Input22[[#This Row],[Measure Number]], Table_Prescript_Meas[Measure Number], 0)), "")</f>
        <v/>
      </c>
      <c r="G8" s="60"/>
      <c r="H8" s="73"/>
      <c r="I8" s="73"/>
      <c r="J8"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8" s="74" t="str">
        <f>IFERROR(Table_Controls_Input22[[#This Row],[Number of Units]]*Table_Controls_Input22[[#This Row],[Per-Unit Incentive]], "")</f>
        <v/>
      </c>
      <c r="L8" s="75" t="str">
        <f>IFERROR(Table_Controls_Input22[[#This Row],[Number of Units]]*INDEX(Table_Prescript_Meas[Deemed kWh Savings], MATCH(Table_Controls_Input22[[#This Row],[Measure Number]], Table_Prescript_Meas[Measure Number], 0)),"" )</f>
        <v/>
      </c>
      <c r="M8" s="81" t="str">
        <f>IFERROR(Table_Controls_Input22[[#This Row],[Number of Units]]*INDEX(Table_Prescript_Meas[Deemed kW Savings], MATCH(Table_Controls_Input22[[#This Row],[Measure Number]], Table_Prescript_Meas[Measure Number], 0)),"" )</f>
        <v/>
      </c>
      <c r="N8" s="74" t="str">
        <f t="shared" si="2"/>
        <v/>
      </c>
      <c r="O8" s="74" t="str">
        <f>IF(Table_Controls_Input22[[#This Row],[Measure Number]]="", "", Table_Controls_Input22[[#This Row],[Total Equipment Cost]]+Table_Controls_Input22[[#This Row],[Total Labor Cost]])</f>
        <v/>
      </c>
      <c r="P8" s="74" t="str">
        <f>IFERROR(Table_Controls_Input22[[#This Row],[Gross Measure Cost]]-Table_Controls_Input22[[#This Row],[Estimated Incentive]], "")</f>
        <v/>
      </c>
      <c r="Q8" s="75" t="str">
        <f t="shared" si="1"/>
        <v/>
      </c>
      <c r="R8" s="3"/>
      <c r="S8" s="3"/>
      <c r="T8" s="3"/>
      <c r="U8" s="3"/>
      <c r="V8" s="3"/>
      <c r="W8" s="3"/>
      <c r="X8" s="3"/>
      <c r="Y8" s="3"/>
      <c r="Z8" s="3"/>
      <c r="AA8" s="3"/>
      <c r="AB8" s="3"/>
      <c r="AC8" s="3"/>
      <c r="AD8" s="3"/>
      <c r="AE8" s="3"/>
      <c r="AF8" s="3"/>
      <c r="AG8" s="3"/>
      <c r="AH8" s="3"/>
      <c r="AI8" s="3"/>
      <c r="AJ8" s="3"/>
      <c r="AK8" s="3"/>
      <c r="AL8" s="3"/>
      <c r="AM8" s="3"/>
    </row>
    <row r="9" spans="1:39" x14ac:dyDescent="0.2">
      <c r="A9" s="3"/>
      <c r="B9" s="71">
        <v>5</v>
      </c>
      <c r="C9" s="69" t="str">
        <f>IFERROR(INDEX(Table_Prescript_Meas[Measure Number], MATCH(E9, Table_Prescript_Meas[Measure Description], 0)), "")</f>
        <v/>
      </c>
      <c r="D9" s="61"/>
      <c r="E9" s="60"/>
      <c r="F9" s="69" t="str">
        <f>IFERROR(INDEX(Table_Prescript_Meas[Units], MATCH(Table_Controls_Input22[[#This Row],[Measure Number]], Table_Prescript_Meas[Measure Number], 0)), "")</f>
        <v/>
      </c>
      <c r="G9" s="60"/>
      <c r="H9" s="73"/>
      <c r="I9" s="73"/>
      <c r="J9"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9" s="74" t="str">
        <f>IFERROR(Table_Controls_Input22[[#This Row],[Number of Units]]*Table_Controls_Input22[[#This Row],[Per-Unit Incentive]], "")</f>
        <v/>
      </c>
      <c r="L9" s="75" t="str">
        <f>IFERROR(Table_Controls_Input22[[#This Row],[Number of Units]]*INDEX(Table_Prescript_Meas[Deemed kWh Savings], MATCH(Table_Controls_Input22[[#This Row],[Measure Number]], Table_Prescript_Meas[Measure Number], 0)),"" )</f>
        <v/>
      </c>
      <c r="M9" s="81" t="str">
        <f>IFERROR(Table_Controls_Input22[[#This Row],[Number of Units]]*INDEX(Table_Prescript_Meas[Deemed kW Savings], MATCH(Table_Controls_Input22[[#This Row],[Measure Number]], Table_Prescript_Meas[Measure Number], 0)),"" )</f>
        <v/>
      </c>
      <c r="N9" s="74" t="str">
        <f t="shared" si="2"/>
        <v/>
      </c>
      <c r="O9" s="74" t="str">
        <f>IF(Table_Controls_Input22[[#This Row],[Measure Number]]="", "", Table_Controls_Input22[[#This Row],[Total Equipment Cost]]+Table_Controls_Input22[[#This Row],[Total Labor Cost]])</f>
        <v/>
      </c>
      <c r="P9" s="74" t="str">
        <f>IFERROR(Table_Controls_Input22[[#This Row],[Gross Measure Cost]]-Table_Controls_Input22[[#This Row],[Estimated Incentive]], "")</f>
        <v/>
      </c>
      <c r="Q9" s="75" t="str">
        <f t="shared" si="1"/>
        <v/>
      </c>
      <c r="R9" s="3"/>
      <c r="S9" s="3"/>
      <c r="T9" s="3"/>
      <c r="U9" s="3"/>
      <c r="V9" s="3"/>
      <c r="W9" s="3"/>
      <c r="X9" s="3"/>
      <c r="Y9" s="3"/>
      <c r="Z9" s="3"/>
      <c r="AA9" s="3"/>
      <c r="AB9" s="3"/>
      <c r="AC9" s="3"/>
      <c r="AD9" s="3"/>
      <c r="AE9" s="3"/>
      <c r="AF9" s="3"/>
      <c r="AG9" s="3"/>
      <c r="AH9" s="3"/>
      <c r="AI9" s="3"/>
      <c r="AJ9" s="3"/>
      <c r="AK9" s="3"/>
      <c r="AL9" s="3"/>
      <c r="AM9" s="3"/>
    </row>
    <row r="10" spans="1:39" x14ac:dyDescent="0.2">
      <c r="A10" s="3"/>
      <c r="B10" s="71">
        <v>6</v>
      </c>
      <c r="C10" s="69" t="str">
        <f>IFERROR(INDEX(Table_Prescript_Meas[Measure Number], MATCH(E10, Table_Prescript_Meas[Measure Description], 0)), "")</f>
        <v/>
      </c>
      <c r="D10" s="61"/>
      <c r="E10" s="60"/>
      <c r="F10" s="69" t="str">
        <f>IFERROR(INDEX(Table_Prescript_Meas[Units], MATCH(Table_Controls_Input22[[#This Row],[Measure Number]], Table_Prescript_Meas[Measure Number], 0)), "")</f>
        <v/>
      </c>
      <c r="G10" s="60"/>
      <c r="H10" s="73"/>
      <c r="I10" s="73"/>
      <c r="J10"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10" s="74" t="str">
        <f>IFERROR(Table_Controls_Input22[[#This Row],[Number of Units]]*Table_Controls_Input22[[#This Row],[Per-Unit Incentive]], "")</f>
        <v/>
      </c>
      <c r="L10" s="75" t="str">
        <f>IFERROR(Table_Controls_Input22[[#This Row],[Number of Units]]*INDEX(Table_Prescript_Meas[Deemed kWh Savings], MATCH(Table_Controls_Input22[[#This Row],[Measure Number]], Table_Prescript_Meas[Measure Number], 0)),"" )</f>
        <v/>
      </c>
      <c r="M10" s="81" t="str">
        <f>IFERROR(Table_Controls_Input22[[#This Row],[Number of Units]]*INDEX(Table_Prescript_Meas[Deemed kW Savings], MATCH(Table_Controls_Input22[[#This Row],[Measure Number]], Table_Prescript_Meas[Measure Number], 0)),"" )</f>
        <v/>
      </c>
      <c r="N10" s="74" t="str">
        <f t="shared" si="2"/>
        <v/>
      </c>
      <c r="O10" s="74" t="str">
        <f>IF(Table_Controls_Input22[[#This Row],[Measure Number]]="", "", Table_Controls_Input22[[#This Row],[Total Equipment Cost]]+Table_Controls_Input22[[#This Row],[Total Labor Cost]])</f>
        <v/>
      </c>
      <c r="P10" s="74" t="str">
        <f>IFERROR(Table_Controls_Input22[[#This Row],[Gross Measure Cost]]-Table_Controls_Input22[[#This Row],[Estimated Incentive]], "")</f>
        <v/>
      </c>
      <c r="Q10" s="75" t="str">
        <f t="shared" si="1"/>
        <v/>
      </c>
      <c r="R10" s="3"/>
      <c r="S10" s="3"/>
      <c r="T10" s="3"/>
      <c r="U10" s="3"/>
      <c r="V10" s="3"/>
      <c r="W10" s="3"/>
      <c r="X10" s="3"/>
      <c r="Y10" s="3"/>
      <c r="Z10" s="3"/>
      <c r="AA10" s="3"/>
      <c r="AB10" s="3"/>
      <c r="AC10" s="3"/>
      <c r="AD10" s="3"/>
      <c r="AE10" s="3"/>
      <c r="AF10" s="3"/>
      <c r="AG10" s="3"/>
      <c r="AH10" s="3"/>
      <c r="AI10" s="3"/>
      <c r="AJ10" s="3"/>
      <c r="AK10" s="3"/>
      <c r="AL10" s="3"/>
      <c r="AM10" s="3"/>
    </row>
    <row r="11" spans="1:39" x14ac:dyDescent="0.2">
      <c r="A11" s="3"/>
      <c r="B11" s="71">
        <v>7</v>
      </c>
      <c r="C11" s="69" t="str">
        <f>IFERROR(INDEX(Table_Prescript_Meas[Measure Number], MATCH(E11, Table_Prescript_Meas[Measure Description], 0)), "")</f>
        <v/>
      </c>
      <c r="D11" s="61"/>
      <c r="E11" s="60"/>
      <c r="F11" s="69" t="str">
        <f>IFERROR(INDEX(Table_Prescript_Meas[Units], MATCH(Table_Controls_Input22[[#This Row],[Measure Number]], Table_Prescript_Meas[Measure Number], 0)), "")</f>
        <v/>
      </c>
      <c r="G11" s="60"/>
      <c r="H11" s="73"/>
      <c r="I11" s="73"/>
      <c r="J11"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11" s="74" t="str">
        <f>IFERROR(Table_Controls_Input22[[#This Row],[Number of Units]]*Table_Controls_Input22[[#This Row],[Per-Unit Incentive]], "")</f>
        <v/>
      </c>
      <c r="L11" s="75" t="str">
        <f>IFERROR(Table_Controls_Input22[[#This Row],[Number of Units]]*INDEX(Table_Prescript_Meas[Deemed kWh Savings], MATCH(Table_Controls_Input22[[#This Row],[Measure Number]], Table_Prescript_Meas[Measure Number], 0)),"" )</f>
        <v/>
      </c>
      <c r="M11" s="81" t="str">
        <f>IFERROR(Table_Controls_Input22[[#This Row],[Number of Units]]*INDEX(Table_Prescript_Meas[Deemed kW Savings], MATCH(Table_Controls_Input22[[#This Row],[Measure Number]], Table_Prescript_Meas[Measure Number], 0)),"" )</f>
        <v/>
      </c>
      <c r="N11" s="74" t="str">
        <f t="shared" si="2"/>
        <v/>
      </c>
      <c r="O11" s="74" t="str">
        <f>IF(Table_Controls_Input22[[#This Row],[Measure Number]]="", "", Table_Controls_Input22[[#This Row],[Total Equipment Cost]]+Table_Controls_Input22[[#This Row],[Total Labor Cost]])</f>
        <v/>
      </c>
      <c r="P11" s="74" t="str">
        <f>IFERROR(Table_Controls_Input22[[#This Row],[Gross Measure Cost]]-Table_Controls_Input22[[#This Row],[Estimated Incentive]], "")</f>
        <v/>
      </c>
      <c r="Q11" s="75" t="str">
        <f t="shared" si="1"/>
        <v/>
      </c>
      <c r="R11" s="3"/>
      <c r="S11" s="3"/>
      <c r="T11" s="3"/>
      <c r="U11" s="3"/>
      <c r="V11" s="3"/>
      <c r="W11" s="3"/>
      <c r="X11" s="3"/>
      <c r="Y11" s="3"/>
      <c r="Z11" s="3"/>
      <c r="AA11" s="3"/>
      <c r="AB11" s="3"/>
      <c r="AC11" s="3"/>
      <c r="AD11" s="3"/>
      <c r="AE11" s="3"/>
      <c r="AF11" s="3"/>
      <c r="AG11" s="3"/>
      <c r="AH11" s="3"/>
      <c r="AI11" s="3"/>
      <c r="AJ11" s="3"/>
      <c r="AK11" s="3"/>
      <c r="AL11" s="3"/>
      <c r="AM11" s="3"/>
    </row>
    <row r="12" spans="1:39" x14ac:dyDescent="0.2">
      <c r="A12" s="3"/>
      <c r="B12" s="71">
        <v>8</v>
      </c>
      <c r="C12" s="69" t="str">
        <f>IFERROR(INDEX(Table_Prescript_Meas[Measure Number], MATCH(E12, Table_Prescript_Meas[Measure Description], 0)), "")</f>
        <v/>
      </c>
      <c r="D12" s="61"/>
      <c r="E12" s="60"/>
      <c r="F12" s="69" t="str">
        <f>IFERROR(INDEX(Table_Prescript_Meas[Units], MATCH(Table_Controls_Input22[[#This Row],[Measure Number]], Table_Prescript_Meas[Measure Number], 0)), "")</f>
        <v/>
      </c>
      <c r="G12" s="60"/>
      <c r="H12" s="73"/>
      <c r="I12" s="73"/>
      <c r="J12"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12" s="74" t="str">
        <f>IFERROR(Table_Controls_Input22[[#This Row],[Number of Units]]*Table_Controls_Input22[[#This Row],[Per-Unit Incentive]], "")</f>
        <v/>
      </c>
      <c r="L12" s="75" t="str">
        <f>IFERROR(Table_Controls_Input22[[#This Row],[Number of Units]]*INDEX(Table_Prescript_Meas[Deemed kWh Savings], MATCH(Table_Controls_Input22[[#This Row],[Measure Number]], Table_Prescript_Meas[Measure Number], 0)),"" )</f>
        <v/>
      </c>
      <c r="M12" s="81" t="str">
        <f>IFERROR(Table_Controls_Input22[[#This Row],[Number of Units]]*INDEX(Table_Prescript_Meas[Deemed kW Savings], MATCH(Table_Controls_Input22[[#This Row],[Measure Number]], Table_Prescript_Meas[Measure Number], 0)),"" )</f>
        <v/>
      </c>
      <c r="N12" s="74" t="str">
        <f t="shared" si="2"/>
        <v/>
      </c>
      <c r="O12" s="74" t="str">
        <f>IF(Table_Controls_Input22[[#This Row],[Measure Number]]="", "", Table_Controls_Input22[[#This Row],[Total Equipment Cost]]+Table_Controls_Input22[[#This Row],[Total Labor Cost]])</f>
        <v/>
      </c>
      <c r="P12" s="74" t="str">
        <f>IFERROR(Table_Controls_Input22[[#This Row],[Gross Measure Cost]]-Table_Controls_Input22[[#This Row],[Estimated Incentive]], "")</f>
        <v/>
      </c>
      <c r="Q12" s="75" t="str">
        <f t="shared" si="1"/>
        <v/>
      </c>
      <c r="R12" s="3"/>
      <c r="S12" s="3"/>
      <c r="T12" s="3"/>
      <c r="U12" s="3"/>
      <c r="V12" s="3"/>
      <c r="W12" s="3"/>
      <c r="X12" s="3"/>
      <c r="Y12" s="3"/>
      <c r="Z12" s="3"/>
      <c r="AA12" s="3"/>
      <c r="AB12" s="3"/>
      <c r="AC12" s="3"/>
      <c r="AD12" s="3"/>
      <c r="AE12" s="3"/>
      <c r="AF12" s="3"/>
      <c r="AG12" s="3"/>
      <c r="AH12" s="3"/>
      <c r="AI12" s="3"/>
      <c r="AJ12" s="3"/>
      <c r="AK12" s="3"/>
      <c r="AL12" s="3"/>
      <c r="AM12" s="3"/>
    </row>
    <row r="13" spans="1:39" x14ac:dyDescent="0.2">
      <c r="A13" s="3"/>
      <c r="B13" s="71">
        <v>9</v>
      </c>
      <c r="C13" s="69" t="str">
        <f>IFERROR(INDEX(Table_Prescript_Meas[Measure Number], MATCH(E13, Table_Prescript_Meas[Measure Description], 0)), "")</f>
        <v/>
      </c>
      <c r="D13" s="61"/>
      <c r="E13" s="60"/>
      <c r="F13" s="69" t="str">
        <f>IFERROR(INDEX(Table_Prescript_Meas[Units], MATCH(Table_Controls_Input22[[#This Row],[Measure Number]], Table_Prescript_Meas[Measure Number], 0)), "")</f>
        <v/>
      </c>
      <c r="G13" s="60"/>
      <c r="H13" s="73"/>
      <c r="I13" s="73"/>
      <c r="J13"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13" s="74" t="str">
        <f>IFERROR(Table_Controls_Input22[[#This Row],[Number of Units]]*Table_Controls_Input22[[#This Row],[Per-Unit Incentive]], "")</f>
        <v/>
      </c>
      <c r="L13" s="75" t="str">
        <f>IFERROR(Table_Controls_Input22[[#This Row],[Number of Units]]*INDEX(Table_Prescript_Meas[Deemed kWh Savings], MATCH(Table_Controls_Input22[[#This Row],[Measure Number]], Table_Prescript_Meas[Measure Number], 0)),"" )</f>
        <v/>
      </c>
      <c r="M13" s="81" t="str">
        <f>IFERROR(Table_Controls_Input22[[#This Row],[Number of Units]]*INDEX(Table_Prescript_Meas[Deemed kW Savings], MATCH(Table_Controls_Input22[[#This Row],[Measure Number]], Table_Prescript_Meas[Measure Number], 0)),"" )</f>
        <v/>
      </c>
      <c r="N13" s="74" t="str">
        <f t="shared" si="2"/>
        <v/>
      </c>
      <c r="O13" s="74" t="str">
        <f>IF(Table_Controls_Input22[[#This Row],[Measure Number]]="", "", Table_Controls_Input22[[#This Row],[Total Equipment Cost]]+Table_Controls_Input22[[#This Row],[Total Labor Cost]])</f>
        <v/>
      </c>
      <c r="P13" s="74" t="str">
        <f>IFERROR(Table_Controls_Input22[[#This Row],[Gross Measure Cost]]-Table_Controls_Input22[[#This Row],[Estimated Incentive]], "")</f>
        <v/>
      </c>
      <c r="Q13" s="75" t="str">
        <f t="shared" si="1"/>
        <v/>
      </c>
      <c r="R13" s="3"/>
      <c r="S13" s="3"/>
      <c r="T13" s="3"/>
      <c r="U13" s="3"/>
      <c r="V13" s="3"/>
      <c r="W13" s="3"/>
      <c r="X13" s="3"/>
      <c r="Y13" s="3"/>
      <c r="Z13" s="3"/>
      <c r="AA13" s="3"/>
      <c r="AB13" s="3"/>
      <c r="AC13" s="3"/>
      <c r="AD13" s="3"/>
      <c r="AE13" s="3"/>
      <c r="AF13" s="3"/>
      <c r="AG13" s="3"/>
      <c r="AH13" s="3"/>
      <c r="AI13" s="3"/>
      <c r="AJ13" s="3"/>
      <c r="AK13" s="3"/>
      <c r="AL13" s="3"/>
      <c r="AM13" s="3"/>
    </row>
    <row r="14" spans="1:39" x14ac:dyDescent="0.2">
      <c r="A14" s="3"/>
      <c r="B14" s="71">
        <v>10</v>
      </c>
      <c r="C14" s="69" t="str">
        <f>IFERROR(INDEX(Table_Prescript_Meas[Measure Number], MATCH(E14, Table_Prescript_Meas[Measure Description], 0)), "")</f>
        <v/>
      </c>
      <c r="D14" s="61"/>
      <c r="E14" s="60"/>
      <c r="F14" s="69" t="str">
        <f>IFERROR(INDEX(Table_Prescript_Meas[Units], MATCH(Table_Controls_Input22[[#This Row],[Measure Number]], Table_Prescript_Meas[Measure Number], 0)), "")</f>
        <v/>
      </c>
      <c r="G14" s="60"/>
      <c r="H14" s="73"/>
      <c r="I14" s="73"/>
      <c r="J14"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14" s="74" t="str">
        <f>IFERROR(Table_Controls_Input22[[#This Row],[Number of Units]]*Table_Controls_Input22[[#This Row],[Per-Unit Incentive]], "")</f>
        <v/>
      </c>
      <c r="L14" s="75" t="str">
        <f>IFERROR(Table_Controls_Input22[[#This Row],[Number of Units]]*INDEX(Table_Prescript_Meas[Deemed kWh Savings], MATCH(Table_Controls_Input22[[#This Row],[Measure Number]], Table_Prescript_Meas[Measure Number], 0)),"" )</f>
        <v/>
      </c>
      <c r="M14" s="81" t="str">
        <f>IFERROR(Table_Controls_Input22[[#This Row],[Number of Units]]*INDEX(Table_Prescript_Meas[Deemed kW Savings], MATCH(Table_Controls_Input22[[#This Row],[Measure Number]], Table_Prescript_Meas[Measure Number], 0)),"" )</f>
        <v/>
      </c>
      <c r="N14" s="74" t="str">
        <f t="shared" si="2"/>
        <v/>
      </c>
      <c r="O14" s="74" t="str">
        <f>IF(Table_Controls_Input22[[#This Row],[Measure Number]]="", "", Table_Controls_Input22[[#This Row],[Total Equipment Cost]]+Table_Controls_Input22[[#This Row],[Total Labor Cost]])</f>
        <v/>
      </c>
      <c r="P14" s="74" t="str">
        <f>IFERROR(Table_Controls_Input22[[#This Row],[Gross Measure Cost]]-Table_Controls_Input22[[#This Row],[Estimated Incentive]], "")</f>
        <v/>
      </c>
      <c r="Q14" s="75" t="str">
        <f t="shared" si="1"/>
        <v/>
      </c>
      <c r="R14" s="3"/>
      <c r="S14" s="3"/>
      <c r="T14" s="3"/>
      <c r="U14" s="3"/>
      <c r="V14" s="3"/>
      <c r="W14" s="3"/>
      <c r="X14" s="3"/>
      <c r="Y14" s="3"/>
      <c r="Z14" s="3"/>
      <c r="AA14" s="3"/>
      <c r="AB14" s="3"/>
      <c r="AC14" s="3"/>
      <c r="AD14" s="3"/>
      <c r="AE14" s="3"/>
      <c r="AF14" s="3"/>
      <c r="AG14" s="3"/>
      <c r="AH14" s="3"/>
      <c r="AI14" s="3"/>
      <c r="AJ14" s="3"/>
      <c r="AK14" s="3"/>
      <c r="AL14" s="3"/>
      <c r="AM14" s="3"/>
    </row>
    <row r="15" spans="1:39" x14ac:dyDescent="0.2">
      <c r="A15" s="3"/>
      <c r="B15" s="71">
        <v>11</v>
      </c>
      <c r="C15" s="69" t="str">
        <f>IFERROR(INDEX(Table_Prescript_Meas[Measure Number], MATCH(E15, Table_Prescript_Meas[Measure Description], 0)), "")</f>
        <v/>
      </c>
      <c r="D15" s="61"/>
      <c r="E15" s="60"/>
      <c r="F15" s="69" t="str">
        <f>IFERROR(INDEX(Table_Prescript_Meas[Units], MATCH(Table_Controls_Input22[[#This Row],[Measure Number]], Table_Prescript_Meas[Measure Number], 0)), "")</f>
        <v/>
      </c>
      <c r="G15" s="60"/>
      <c r="H15" s="73"/>
      <c r="I15" s="73"/>
      <c r="J15"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15" s="74" t="str">
        <f>IFERROR(Table_Controls_Input22[[#This Row],[Number of Units]]*Table_Controls_Input22[[#This Row],[Per-Unit Incentive]], "")</f>
        <v/>
      </c>
      <c r="L15" s="75" t="str">
        <f>IFERROR(Table_Controls_Input22[[#This Row],[Number of Units]]*INDEX(Table_Prescript_Meas[Deemed kWh Savings], MATCH(Table_Controls_Input22[[#This Row],[Measure Number]], Table_Prescript_Meas[Measure Number], 0)),"" )</f>
        <v/>
      </c>
      <c r="M15" s="81" t="str">
        <f>IFERROR(Table_Controls_Input22[[#This Row],[Number of Units]]*INDEX(Table_Prescript_Meas[Deemed kW Savings], MATCH(Table_Controls_Input22[[#This Row],[Measure Number]], Table_Prescript_Meas[Measure Number], 0)),"" )</f>
        <v/>
      </c>
      <c r="N15" s="74" t="str">
        <f t="shared" si="2"/>
        <v/>
      </c>
      <c r="O15" s="74" t="str">
        <f>IF(Table_Controls_Input22[[#This Row],[Measure Number]]="", "", Table_Controls_Input22[[#This Row],[Total Equipment Cost]]+Table_Controls_Input22[[#This Row],[Total Labor Cost]])</f>
        <v/>
      </c>
      <c r="P15" s="74" t="str">
        <f>IFERROR(Table_Controls_Input22[[#This Row],[Gross Measure Cost]]-Table_Controls_Input22[[#This Row],[Estimated Incentive]], "")</f>
        <v/>
      </c>
      <c r="Q15" s="75" t="str">
        <f t="shared" si="1"/>
        <v/>
      </c>
      <c r="R15" s="3"/>
      <c r="S15" s="3"/>
      <c r="T15" s="3"/>
      <c r="U15" s="3"/>
      <c r="V15" s="3"/>
      <c r="W15" s="3"/>
      <c r="X15" s="3"/>
      <c r="Y15" s="3"/>
      <c r="Z15" s="3"/>
      <c r="AA15" s="3"/>
      <c r="AB15" s="3"/>
      <c r="AC15" s="3"/>
      <c r="AD15" s="3"/>
      <c r="AE15" s="3"/>
      <c r="AF15" s="3"/>
      <c r="AG15" s="3"/>
      <c r="AH15" s="3"/>
      <c r="AI15" s="3"/>
      <c r="AJ15" s="3"/>
      <c r="AK15" s="3"/>
      <c r="AL15" s="3"/>
      <c r="AM15" s="3"/>
    </row>
    <row r="16" spans="1:39" x14ac:dyDescent="0.2">
      <c r="A16" s="3"/>
      <c r="B16" s="71">
        <v>12</v>
      </c>
      <c r="C16" s="69" t="str">
        <f>IFERROR(INDEX(Table_Prescript_Meas[Measure Number], MATCH(E16, Table_Prescript_Meas[Measure Description], 0)), "")</f>
        <v/>
      </c>
      <c r="D16" s="61"/>
      <c r="E16" s="60"/>
      <c r="F16" s="69" t="str">
        <f>IFERROR(INDEX(Table_Prescript_Meas[Units], MATCH(Table_Controls_Input22[[#This Row],[Measure Number]], Table_Prescript_Meas[Measure Number], 0)), "")</f>
        <v/>
      </c>
      <c r="G16" s="60"/>
      <c r="H16" s="73"/>
      <c r="I16" s="73"/>
      <c r="J16"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16" s="74" t="str">
        <f>IFERROR(Table_Controls_Input22[[#This Row],[Number of Units]]*Table_Controls_Input22[[#This Row],[Per-Unit Incentive]], "")</f>
        <v/>
      </c>
      <c r="L16" s="75" t="str">
        <f>IFERROR(Table_Controls_Input22[[#This Row],[Number of Units]]*INDEX(Table_Prescript_Meas[Deemed kWh Savings], MATCH(Table_Controls_Input22[[#This Row],[Measure Number]], Table_Prescript_Meas[Measure Number], 0)),"" )</f>
        <v/>
      </c>
      <c r="M16" s="81" t="str">
        <f>IFERROR(Table_Controls_Input22[[#This Row],[Number of Units]]*INDEX(Table_Prescript_Meas[Deemed kW Savings], MATCH(Table_Controls_Input22[[#This Row],[Measure Number]], Table_Prescript_Meas[Measure Number], 0)),"" )</f>
        <v/>
      </c>
      <c r="N16" s="74" t="str">
        <f t="shared" si="2"/>
        <v/>
      </c>
      <c r="O16" s="74" t="str">
        <f>IF(Table_Controls_Input22[[#This Row],[Measure Number]]="", "", Table_Controls_Input22[[#This Row],[Total Equipment Cost]]+Table_Controls_Input22[[#This Row],[Total Labor Cost]])</f>
        <v/>
      </c>
      <c r="P16" s="74" t="str">
        <f>IFERROR(Table_Controls_Input22[[#This Row],[Gross Measure Cost]]-Table_Controls_Input22[[#This Row],[Estimated Incentive]], "")</f>
        <v/>
      </c>
      <c r="Q16" s="75" t="str">
        <f t="shared" si="1"/>
        <v/>
      </c>
      <c r="R16" s="3"/>
      <c r="S16" s="3"/>
      <c r="T16" s="3"/>
      <c r="U16" s="3"/>
      <c r="V16" s="3"/>
      <c r="W16" s="3"/>
      <c r="X16" s="3"/>
      <c r="Y16" s="3"/>
      <c r="Z16" s="3"/>
      <c r="AA16" s="3"/>
      <c r="AB16" s="3"/>
      <c r="AC16" s="3"/>
      <c r="AD16" s="3"/>
      <c r="AE16" s="3"/>
      <c r="AF16" s="3"/>
      <c r="AG16" s="3"/>
      <c r="AH16" s="3"/>
      <c r="AI16" s="3"/>
      <c r="AJ16" s="3"/>
      <c r="AK16" s="3"/>
      <c r="AL16" s="3"/>
      <c r="AM16" s="3"/>
    </row>
    <row r="17" spans="1:39" x14ac:dyDescent="0.2">
      <c r="A17" s="3"/>
      <c r="B17" s="71">
        <v>13</v>
      </c>
      <c r="C17" s="69" t="str">
        <f>IFERROR(INDEX(Table_Prescript_Meas[Measure Number], MATCH(E17, Table_Prescript_Meas[Measure Description], 0)), "")</f>
        <v/>
      </c>
      <c r="D17" s="61"/>
      <c r="E17" s="60"/>
      <c r="F17" s="69" t="str">
        <f>IFERROR(INDEX(Table_Prescript_Meas[Units], MATCH(Table_Controls_Input22[[#This Row],[Measure Number]], Table_Prescript_Meas[Measure Number], 0)), "")</f>
        <v/>
      </c>
      <c r="G17" s="60"/>
      <c r="H17" s="73"/>
      <c r="I17" s="73"/>
      <c r="J17"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17" s="74" t="str">
        <f>IFERROR(Table_Controls_Input22[[#This Row],[Number of Units]]*Table_Controls_Input22[[#This Row],[Per-Unit Incentive]], "")</f>
        <v/>
      </c>
      <c r="L17" s="75" t="str">
        <f>IFERROR(Table_Controls_Input22[[#This Row],[Number of Units]]*INDEX(Table_Prescript_Meas[Deemed kWh Savings], MATCH(Table_Controls_Input22[[#This Row],[Measure Number]], Table_Prescript_Meas[Measure Number], 0)),"" )</f>
        <v/>
      </c>
      <c r="M17" s="81" t="str">
        <f>IFERROR(Table_Controls_Input22[[#This Row],[Number of Units]]*INDEX(Table_Prescript_Meas[Deemed kW Savings], MATCH(Table_Controls_Input22[[#This Row],[Measure Number]], Table_Prescript_Meas[Measure Number], 0)),"" )</f>
        <v/>
      </c>
      <c r="N17" s="74" t="str">
        <f t="shared" si="2"/>
        <v/>
      </c>
      <c r="O17" s="74" t="str">
        <f>IF(Table_Controls_Input22[[#This Row],[Measure Number]]="", "", Table_Controls_Input22[[#This Row],[Total Equipment Cost]]+Table_Controls_Input22[[#This Row],[Total Labor Cost]])</f>
        <v/>
      </c>
      <c r="P17" s="74" t="str">
        <f>IFERROR(Table_Controls_Input22[[#This Row],[Gross Measure Cost]]-Table_Controls_Input22[[#This Row],[Estimated Incentive]], "")</f>
        <v/>
      </c>
      <c r="Q17" s="75" t="str">
        <f t="shared" si="1"/>
        <v/>
      </c>
      <c r="R17" s="3"/>
      <c r="S17" s="3"/>
      <c r="T17" s="3"/>
      <c r="U17" s="3"/>
      <c r="V17" s="3"/>
      <c r="W17" s="3"/>
      <c r="X17" s="3"/>
      <c r="Y17" s="3"/>
      <c r="Z17" s="3"/>
      <c r="AA17" s="3"/>
      <c r="AB17" s="3"/>
      <c r="AC17" s="3"/>
      <c r="AD17" s="3"/>
      <c r="AE17" s="3"/>
      <c r="AF17" s="3"/>
      <c r="AG17" s="3"/>
      <c r="AH17" s="3"/>
      <c r="AI17" s="3"/>
      <c r="AJ17" s="3"/>
      <c r="AK17" s="3"/>
      <c r="AL17" s="3"/>
      <c r="AM17" s="3"/>
    </row>
    <row r="18" spans="1:39" x14ac:dyDescent="0.2">
      <c r="A18" s="3"/>
      <c r="B18" s="71">
        <v>14</v>
      </c>
      <c r="C18" s="69" t="str">
        <f>IFERROR(INDEX(Table_Prescript_Meas[Measure Number], MATCH(E18, Table_Prescript_Meas[Measure Description], 0)), "")</f>
        <v/>
      </c>
      <c r="D18" s="61"/>
      <c r="E18" s="60"/>
      <c r="F18" s="69" t="str">
        <f>IFERROR(INDEX(Table_Prescript_Meas[Units], MATCH(Table_Controls_Input22[[#This Row],[Measure Number]], Table_Prescript_Meas[Measure Number], 0)), "")</f>
        <v/>
      </c>
      <c r="G18" s="60"/>
      <c r="H18" s="73"/>
      <c r="I18" s="73"/>
      <c r="J18"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18" s="74" t="str">
        <f>IFERROR(Table_Controls_Input22[[#This Row],[Number of Units]]*Table_Controls_Input22[[#This Row],[Per-Unit Incentive]], "")</f>
        <v/>
      </c>
      <c r="L18" s="75" t="str">
        <f>IFERROR(Table_Controls_Input22[[#This Row],[Number of Units]]*INDEX(Table_Prescript_Meas[Deemed kWh Savings], MATCH(Table_Controls_Input22[[#This Row],[Measure Number]], Table_Prescript_Meas[Measure Number], 0)),"" )</f>
        <v/>
      </c>
      <c r="M18" s="81" t="str">
        <f>IFERROR(Table_Controls_Input22[[#This Row],[Number of Units]]*INDEX(Table_Prescript_Meas[Deemed kW Savings], MATCH(Table_Controls_Input22[[#This Row],[Measure Number]], Table_Prescript_Meas[Measure Number], 0)),"" )</f>
        <v/>
      </c>
      <c r="N18" s="74" t="str">
        <f t="shared" si="2"/>
        <v/>
      </c>
      <c r="O18" s="74" t="str">
        <f>IF(Table_Controls_Input22[[#This Row],[Measure Number]]="", "", Table_Controls_Input22[[#This Row],[Total Equipment Cost]]+Table_Controls_Input22[[#This Row],[Total Labor Cost]])</f>
        <v/>
      </c>
      <c r="P18" s="74" t="str">
        <f>IFERROR(Table_Controls_Input22[[#This Row],[Gross Measure Cost]]-Table_Controls_Input22[[#This Row],[Estimated Incentive]], "")</f>
        <v/>
      </c>
      <c r="Q18" s="75" t="str">
        <f t="shared" si="1"/>
        <v/>
      </c>
      <c r="R18" s="3"/>
      <c r="S18" s="3"/>
      <c r="T18" s="3"/>
      <c r="U18" s="3"/>
      <c r="V18" s="3"/>
      <c r="W18" s="3"/>
      <c r="X18" s="3"/>
      <c r="Y18" s="3"/>
      <c r="Z18" s="3"/>
      <c r="AA18" s="3"/>
      <c r="AB18" s="3"/>
      <c r="AC18" s="3"/>
      <c r="AD18" s="3"/>
      <c r="AE18" s="3"/>
      <c r="AF18" s="3"/>
      <c r="AG18" s="3"/>
      <c r="AH18" s="3"/>
      <c r="AI18" s="3"/>
      <c r="AJ18" s="3"/>
      <c r="AK18" s="3"/>
      <c r="AL18" s="3"/>
      <c r="AM18" s="3"/>
    </row>
    <row r="19" spans="1:39" x14ac:dyDescent="0.2">
      <c r="A19" s="3"/>
      <c r="B19" s="71">
        <v>15</v>
      </c>
      <c r="C19" s="69" t="str">
        <f>IFERROR(INDEX(Table_Prescript_Meas[Measure Number], MATCH(E19, Table_Prescript_Meas[Measure Description], 0)), "")</f>
        <v/>
      </c>
      <c r="D19" s="61"/>
      <c r="E19" s="60"/>
      <c r="F19" s="69" t="str">
        <f>IFERROR(INDEX(Table_Prescript_Meas[Units], MATCH(Table_Controls_Input22[[#This Row],[Measure Number]], Table_Prescript_Meas[Measure Number], 0)), "")</f>
        <v/>
      </c>
      <c r="G19" s="60"/>
      <c r="H19" s="73"/>
      <c r="I19" s="73"/>
      <c r="J19"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19" s="74" t="str">
        <f>IFERROR(Table_Controls_Input22[[#This Row],[Number of Units]]*Table_Controls_Input22[[#This Row],[Per-Unit Incentive]], "")</f>
        <v/>
      </c>
      <c r="L19" s="75" t="str">
        <f>IFERROR(Table_Controls_Input22[[#This Row],[Number of Units]]*INDEX(Table_Prescript_Meas[Deemed kWh Savings], MATCH(Table_Controls_Input22[[#This Row],[Measure Number]], Table_Prescript_Meas[Measure Number], 0)),"" )</f>
        <v/>
      </c>
      <c r="M19" s="81" t="str">
        <f>IFERROR(Table_Controls_Input22[[#This Row],[Number of Units]]*INDEX(Table_Prescript_Meas[Deemed kW Savings], MATCH(Table_Controls_Input22[[#This Row],[Measure Number]], Table_Prescript_Meas[Measure Number], 0)),"" )</f>
        <v/>
      </c>
      <c r="N19" s="74" t="str">
        <f t="shared" si="2"/>
        <v/>
      </c>
      <c r="O19" s="74" t="str">
        <f>IF(Table_Controls_Input22[[#This Row],[Measure Number]]="", "", Table_Controls_Input22[[#This Row],[Total Equipment Cost]]+Table_Controls_Input22[[#This Row],[Total Labor Cost]])</f>
        <v/>
      </c>
      <c r="P19" s="74" t="str">
        <f>IFERROR(Table_Controls_Input22[[#This Row],[Gross Measure Cost]]-Table_Controls_Input22[[#This Row],[Estimated Incentive]], "")</f>
        <v/>
      </c>
      <c r="Q19" s="75" t="str">
        <f t="shared" si="1"/>
        <v/>
      </c>
      <c r="R19" s="3"/>
      <c r="S19" s="3"/>
      <c r="T19" s="3"/>
      <c r="U19" s="3"/>
      <c r="V19" s="3"/>
      <c r="W19" s="3"/>
      <c r="X19" s="3"/>
      <c r="Y19" s="3"/>
      <c r="Z19" s="3"/>
      <c r="AA19" s="3"/>
      <c r="AB19" s="3"/>
      <c r="AC19" s="3"/>
      <c r="AD19" s="3"/>
      <c r="AE19" s="3"/>
      <c r="AF19" s="3"/>
      <c r="AG19" s="3"/>
      <c r="AH19" s="3"/>
      <c r="AI19" s="3"/>
      <c r="AJ19" s="3"/>
      <c r="AK19" s="3"/>
      <c r="AL19" s="3"/>
      <c r="AM19" s="3"/>
    </row>
    <row r="20" spans="1:39" x14ac:dyDescent="0.2">
      <c r="A20" s="3"/>
      <c r="B20" s="71">
        <v>16</v>
      </c>
      <c r="C20" s="69" t="str">
        <f>IFERROR(INDEX(Table_Prescript_Meas[Measure Number], MATCH(E20, Table_Prescript_Meas[Measure Description], 0)), "")</f>
        <v/>
      </c>
      <c r="D20" s="61"/>
      <c r="E20" s="60"/>
      <c r="F20" s="69" t="str">
        <f>IFERROR(INDEX(Table_Prescript_Meas[Units], MATCH(Table_Controls_Input22[[#This Row],[Measure Number]], Table_Prescript_Meas[Measure Number], 0)), "")</f>
        <v/>
      </c>
      <c r="G20" s="60"/>
      <c r="H20" s="73"/>
      <c r="I20" s="73"/>
      <c r="J20"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20" s="74" t="str">
        <f>IFERROR(Table_Controls_Input22[[#This Row],[Number of Units]]*Table_Controls_Input22[[#This Row],[Per-Unit Incentive]], "")</f>
        <v/>
      </c>
      <c r="L20" s="75" t="str">
        <f>IFERROR(Table_Controls_Input22[[#This Row],[Number of Units]]*INDEX(Table_Prescript_Meas[Deemed kWh Savings], MATCH(Table_Controls_Input22[[#This Row],[Measure Number]], Table_Prescript_Meas[Measure Number], 0)),"" )</f>
        <v/>
      </c>
      <c r="M20" s="81" t="str">
        <f>IFERROR(Table_Controls_Input22[[#This Row],[Number of Units]]*INDEX(Table_Prescript_Meas[Deemed kW Savings], MATCH(Table_Controls_Input22[[#This Row],[Measure Number]], Table_Prescript_Meas[Measure Number], 0)),"" )</f>
        <v/>
      </c>
      <c r="N20" s="74" t="str">
        <f t="shared" si="2"/>
        <v/>
      </c>
      <c r="O20" s="74" t="str">
        <f>IF(Table_Controls_Input22[[#This Row],[Measure Number]]="", "", Table_Controls_Input22[[#This Row],[Total Equipment Cost]]+Table_Controls_Input22[[#This Row],[Total Labor Cost]])</f>
        <v/>
      </c>
      <c r="P20" s="74" t="str">
        <f>IFERROR(Table_Controls_Input22[[#This Row],[Gross Measure Cost]]-Table_Controls_Input22[[#This Row],[Estimated Incentive]], "")</f>
        <v/>
      </c>
      <c r="Q20" s="75" t="str">
        <f t="shared" si="1"/>
        <v/>
      </c>
      <c r="R20" s="3"/>
      <c r="S20" s="3"/>
      <c r="T20" s="3"/>
      <c r="U20" s="3"/>
      <c r="V20" s="3"/>
      <c r="W20" s="3"/>
      <c r="X20" s="3"/>
      <c r="Y20" s="3"/>
      <c r="Z20" s="3"/>
      <c r="AA20" s="3"/>
      <c r="AB20" s="3"/>
      <c r="AC20" s="3"/>
      <c r="AD20" s="3"/>
      <c r="AE20" s="3"/>
      <c r="AF20" s="3"/>
      <c r="AG20" s="3"/>
      <c r="AH20" s="3"/>
      <c r="AI20" s="3"/>
      <c r="AJ20" s="3"/>
      <c r="AK20" s="3"/>
      <c r="AL20" s="3"/>
      <c r="AM20" s="3"/>
    </row>
    <row r="21" spans="1:39" x14ac:dyDescent="0.2">
      <c r="A21" s="3"/>
      <c r="B21" s="71">
        <v>17</v>
      </c>
      <c r="C21" s="69" t="str">
        <f>IFERROR(INDEX(Table_Prescript_Meas[Measure Number], MATCH(E21, Table_Prescript_Meas[Measure Description], 0)), "")</f>
        <v/>
      </c>
      <c r="D21" s="61"/>
      <c r="E21" s="60"/>
      <c r="F21" s="69" t="str">
        <f>IFERROR(INDEX(Table_Prescript_Meas[Units], MATCH(Table_Controls_Input22[[#This Row],[Measure Number]], Table_Prescript_Meas[Measure Number], 0)), "")</f>
        <v/>
      </c>
      <c r="G21" s="60"/>
      <c r="H21" s="73"/>
      <c r="I21" s="73"/>
      <c r="J21"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21" s="74" t="str">
        <f>IFERROR(Table_Controls_Input22[[#This Row],[Number of Units]]*Table_Controls_Input22[[#This Row],[Per-Unit Incentive]], "")</f>
        <v/>
      </c>
      <c r="L21" s="75" t="str">
        <f>IFERROR(Table_Controls_Input22[[#This Row],[Number of Units]]*INDEX(Table_Prescript_Meas[Deemed kWh Savings], MATCH(Table_Controls_Input22[[#This Row],[Measure Number]], Table_Prescript_Meas[Measure Number], 0)),"" )</f>
        <v/>
      </c>
      <c r="M21" s="81" t="str">
        <f>IFERROR(Table_Controls_Input22[[#This Row],[Number of Units]]*INDEX(Table_Prescript_Meas[Deemed kW Savings], MATCH(Table_Controls_Input22[[#This Row],[Measure Number]], Table_Prescript_Meas[Measure Number], 0)),"" )</f>
        <v/>
      </c>
      <c r="N21" s="74" t="str">
        <f t="shared" si="2"/>
        <v/>
      </c>
      <c r="O21" s="74" t="str">
        <f>IF(Table_Controls_Input22[[#This Row],[Measure Number]]="", "", Table_Controls_Input22[[#This Row],[Total Equipment Cost]]+Table_Controls_Input22[[#This Row],[Total Labor Cost]])</f>
        <v/>
      </c>
      <c r="P21" s="74" t="str">
        <f>IFERROR(Table_Controls_Input22[[#This Row],[Gross Measure Cost]]-Table_Controls_Input22[[#This Row],[Estimated Incentive]], "")</f>
        <v/>
      </c>
      <c r="Q21" s="75" t="str">
        <f t="shared" si="1"/>
        <v/>
      </c>
      <c r="R21" s="3"/>
      <c r="S21" s="3"/>
      <c r="T21" s="3"/>
      <c r="U21" s="3"/>
      <c r="V21" s="3"/>
      <c r="W21" s="3"/>
      <c r="X21" s="3"/>
      <c r="Y21" s="3"/>
      <c r="Z21" s="3"/>
      <c r="AA21" s="3"/>
      <c r="AB21" s="3"/>
      <c r="AC21" s="3"/>
      <c r="AD21" s="3"/>
      <c r="AE21" s="3"/>
      <c r="AF21" s="3"/>
      <c r="AG21" s="3"/>
      <c r="AH21" s="3"/>
      <c r="AI21" s="3"/>
      <c r="AJ21" s="3"/>
      <c r="AK21" s="3"/>
      <c r="AL21" s="3"/>
      <c r="AM21" s="3"/>
    </row>
    <row r="22" spans="1:39" x14ac:dyDescent="0.2">
      <c r="A22" s="3"/>
      <c r="B22" s="71">
        <v>18</v>
      </c>
      <c r="C22" s="69" t="str">
        <f>IFERROR(INDEX(Table_Prescript_Meas[Measure Number], MATCH(E22, Table_Prescript_Meas[Measure Description], 0)), "")</f>
        <v/>
      </c>
      <c r="D22" s="61"/>
      <c r="E22" s="60"/>
      <c r="F22" s="69" t="str">
        <f>IFERROR(INDEX(Table_Prescript_Meas[Units], MATCH(Table_Controls_Input22[[#This Row],[Measure Number]], Table_Prescript_Meas[Measure Number], 0)), "")</f>
        <v/>
      </c>
      <c r="G22" s="60"/>
      <c r="H22" s="73"/>
      <c r="I22" s="73"/>
      <c r="J22"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22" s="74" t="str">
        <f>IFERROR(Table_Controls_Input22[[#This Row],[Number of Units]]*Table_Controls_Input22[[#This Row],[Per-Unit Incentive]], "")</f>
        <v/>
      </c>
      <c r="L22" s="75" t="str">
        <f>IFERROR(Table_Controls_Input22[[#This Row],[Number of Units]]*INDEX(Table_Prescript_Meas[Deemed kWh Savings], MATCH(Table_Controls_Input22[[#This Row],[Measure Number]], Table_Prescript_Meas[Measure Number], 0)),"" )</f>
        <v/>
      </c>
      <c r="M22" s="81" t="str">
        <f>IFERROR(Table_Controls_Input22[[#This Row],[Number of Units]]*INDEX(Table_Prescript_Meas[Deemed kW Savings], MATCH(Table_Controls_Input22[[#This Row],[Measure Number]], Table_Prescript_Meas[Measure Number], 0)),"" )</f>
        <v/>
      </c>
      <c r="N22" s="74" t="str">
        <f t="shared" si="2"/>
        <v/>
      </c>
      <c r="O22" s="74" t="str">
        <f>IF(Table_Controls_Input22[[#This Row],[Measure Number]]="", "", Table_Controls_Input22[[#This Row],[Total Equipment Cost]]+Table_Controls_Input22[[#This Row],[Total Labor Cost]])</f>
        <v/>
      </c>
      <c r="P22" s="74" t="str">
        <f>IFERROR(Table_Controls_Input22[[#This Row],[Gross Measure Cost]]-Table_Controls_Input22[[#This Row],[Estimated Incentive]], "")</f>
        <v/>
      </c>
      <c r="Q22" s="75" t="str">
        <f t="shared" si="1"/>
        <v/>
      </c>
      <c r="R22" s="3"/>
      <c r="S22" s="3"/>
      <c r="T22" s="3"/>
      <c r="U22" s="3"/>
      <c r="V22" s="3"/>
      <c r="W22" s="3"/>
      <c r="X22" s="3"/>
      <c r="Y22" s="3"/>
      <c r="Z22" s="3"/>
      <c r="AA22" s="3"/>
      <c r="AB22" s="3"/>
      <c r="AC22" s="3"/>
      <c r="AD22" s="3"/>
      <c r="AE22" s="3"/>
      <c r="AF22" s="3"/>
      <c r="AG22" s="3"/>
      <c r="AH22" s="3"/>
      <c r="AI22" s="3"/>
      <c r="AJ22" s="3"/>
      <c r="AK22" s="3"/>
      <c r="AL22" s="3"/>
      <c r="AM22" s="3"/>
    </row>
    <row r="23" spans="1:39" x14ac:dyDescent="0.2">
      <c r="A23" s="3"/>
      <c r="B23" s="71">
        <v>19</v>
      </c>
      <c r="C23" s="69" t="str">
        <f>IFERROR(INDEX(Table_Prescript_Meas[Measure Number], MATCH(E23, Table_Prescript_Meas[Measure Description], 0)), "")</f>
        <v/>
      </c>
      <c r="D23" s="61"/>
      <c r="E23" s="60"/>
      <c r="F23" s="69" t="str">
        <f>IFERROR(INDEX(Table_Prescript_Meas[Units], MATCH(Table_Controls_Input22[[#This Row],[Measure Number]], Table_Prescript_Meas[Measure Number], 0)), "")</f>
        <v/>
      </c>
      <c r="G23" s="60"/>
      <c r="H23" s="73"/>
      <c r="I23" s="73"/>
      <c r="J23"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23" s="74" t="str">
        <f>IFERROR(Table_Controls_Input22[[#This Row],[Number of Units]]*Table_Controls_Input22[[#This Row],[Per-Unit Incentive]], "")</f>
        <v/>
      </c>
      <c r="L23" s="75" t="str">
        <f>IFERROR(Table_Controls_Input22[[#This Row],[Number of Units]]*INDEX(Table_Prescript_Meas[Deemed kWh Savings], MATCH(Table_Controls_Input22[[#This Row],[Measure Number]], Table_Prescript_Meas[Measure Number], 0)),"" )</f>
        <v/>
      </c>
      <c r="M23" s="81" t="str">
        <f>IFERROR(Table_Controls_Input22[[#This Row],[Number of Units]]*INDEX(Table_Prescript_Meas[Deemed kW Savings], MATCH(Table_Controls_Input22[[#This Row],[Measure Number]], Table_Prescript_Meas[Measure Number], 0)),"" )</f>
        <v/>
      </c>
      <c r="N23" s="74" t="str">
        <f t="shared" si="2"/>
        <v/>
      </c>
      <c r="O23" s="74" t="str">
        <f>IF(Table_Controls_Input22[[#This Row],[Measure Number]]="", "", Table_Controls_Input22[[#This Row],[Total Equipment Cost]]+Table_Controls_Input22[[#This Row],[Total Labor Cost]])</f>
        <v/>
      </c>
      <c r="P23" s="74" t="str">
        <f>IFERROR(Table_Controls_Input22[[#This Row],[Gross Measure Cost]]-Table_Controls_Input22[[#This Row],[Estimated Incentive]], "")</f>
        <v/>
      </c>
      <c r="Q23" s="75" t="str">
        <f t="shared" si="1"/>
        <v/>
      </c>
      <c r="R23" s="3"/>
      <c r="S23" s="3"/>
      <c r="T23" s="3"/>
      <c r="U23" s="3"/>
      <c r="V23" s="3"/>
      <c r="W23" s="3"/>
      <c r="X23" s="3"/>
      <c r="Y23" s="3"/>
      <c r="Z23" s="3"/>
      <c r="AA23" s="3"/>
      <c r="AB23" s="3"/>
      <c r="AC23" s="3"/>
      <c r="AD23" s="3"/>
      <c r="AE23" s="3"/>
      <c r="AF23" s="3"/>
      <c r="AG23" s="3"/>
      <c r="AH23" s="3"/>
      <c r="AI23" s="3"/>
      <c r="AJ23" s="3"/>
      <c r="AK23" s="3"/>
      <c r="AL23" s="3"/>
      <c r="AM23" s="3"/>
    </row>
    <row r="24" spans="1:39" x14ac:dyDescent="0.2">
      <c r="A24" s="3"/>
      <c r="B24" s="71">
        <v>20</v>
      </c>
      <c r="C24" s="69" t="str">
        <f>IFERROR(INDEX(Table_Prescript_Meas[Measure Number], MATCH(E24, Table_Prescript_Meas[Measure Description], 0)), "")</f>
        <v/>
      </c>
      <c r="D24" s="61"/>
      <c r="E24" s="60"/>
      <c r="F24" s="69" t="str">
        <f>IFERROR(INDEX(Table_Prescript_Meas[Units], MATCH(Table_Controls_Input22[[#This Row],[Measure Number]], Table_Prescript_Meas[Measure Number], 0)), "")</f>
        <v/>
      </c>
      <c r="G24" s="60"/>
      <c r="H24" s="73"/>
      <c r="I24" s="73"/>
      <c r="J24"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24" s="74" t="str">
        <f>IFERROR(Table_Controls_Input22[[#This Row],[Number of Units]]*Table_Controls_Input22[[#This Row],[Per-Unit Incentive]], "")</f>
        <v/>
      </c>
      <c r="L24" s="75" t="str">
        <f>IFERROR(Table_Controls_Input22[[#This Row],[Number of Units]]*INDEX(Table_Prescript_Meas[Deemed kWh Savings], MATCH(Table_Controls_Input22[[#This Row],[Measure Number]], Table_Prescript_Meas[Measure Number], 0)),"" )</f>
        <v/>
      </c>
      <c r="M24" s="81" t="str">
        <f>IFERROR(Table_Controls_Input22[[#This Row],[Number of Units]]*INDEX(Table_Prescript_Meas[Deemed kW Savings], MATCH(Table_Controls_Input22[[#This Row],[Measure Number]], Table_Prescript_Meas[Measure Number], 0)),"" )</f>
        <v/>
      </c>
      <c r="N24" s="74" t="str">
        <f t="shared" si="2"/>
        <v/>
      </c>
      <c r="O24" s="74" t="str">
        <f>IF(Table_Controls_Input22[[#This Row],[Measure Number]]="", "", Table_Controls_Input22[[#This Row],[Total Equipment Cost]]+Table_Controls_Input22[[#This Row],[Total Labor Cost]])</f>
        <v/>
      </c>
      <c r="P24" s="74" t="str">
        <f>IFERROR(Table_Controls_Input22[[#This Row],[Gross Measure Cost]]-Table_Controls_Input22[[#This Row],[Estimated Incentive]], "")</f>
        <v/>
      </c>
      <c r="Q24" s="75" t="str">
        <f t="shared" si="1"/>
        <v/>
      </c>
      <c r="R24" s="3"/>
      <c r="S24" s="3"/>
      <c r="T24" s="3"/>
      <c r="U24" s="3"/>
      <c r="V24" s="3"/>
      <c r="W24" s="3"/>
      <c r="X24" s="3"/>
      <c r="Y24" s="3"/>
      <c r="Z24" s="3"/>
      <c r="AA24" s="3"/>
      <c r="AB24" s="3"/>
      <c r="AC24" s="3"/>
      <c r="AD24" s="3"/>
      <c r="AE24" s="3"/>
      <c r="AF24" s="3"/>
      <c r="AG24" s="3"/>
      <c r="AH24" s="3"/>
      <c r="AI24" s="3"/>
      <c r="AJ24" s="3"/>
      <c r="AK24" s="3"/>
      <c r="AL24" s="3"/>
      <c r="AM24" s="3"/>
    </row>
    <row r="25" spans="1:39" x14ac:dyDescent="0.2">
      <c r="A25" s="3"/>
      <c r="B25" s="71">
        <v>21</v>
      </c>
      <c r="C25" s="69" t="str">
        <f>IFERROR(INDEX(Table_Prescript_Meas[Measure Number], MATCH(E25, Table_Prescript_Meas[Measure Description], 0)), "")</f>
        <v/>
      </c>
      <c r="D25" s="61"/>
      <c r="E25" s="60"/>
      <c r="F25" s="69" t="str">
        <f>IFERROR(INDEX(Table_Prescript_Meas[Units], MATCH(Table_Controls_Input22[[#This Row],[Measure Number]], Table_Prescript_Meas[Measure Number], 0)), "")</f>
        <v/>
      </c>
      <c r="G25" s="60"/>
      <c r="H25" s="73"/>
      <c r="I25" s="73"/>
      <c r="J25"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25" s="74" t="str">
        <f>IFERROR(Table_Controls_Input22[[#This Row],[Number of Units]]*Table_Controls_Input22[[#This Row],[Per-Unit Incentive]], "")</f>
        <v/>
      </c>
      <c r="L25" s="75" t="str">
        <f>IFERROR(Table_Controls_Input22[[#This Row],[Number of Units]]*INDEX(Table_Prescript_Meas[Deemed kWh Savings], MATCH(Table_Controls_Input22[[#This Row],[Measure Number]], Table_Prescript_Meas[Measure Number], 0)),"" )</f>
        <v/>
      </c>
      <c r="M25" s="81" t="str">
        <f>IFERROR(Table_Controls_Input22[[#This Row],[Number of Units]]*INDEX(Table_Prescript_Meas[Deemed kW Savings], MATCH(Table_Controls_Input22[[#This Row],[Measure Number]], Table_Prescript_Meas[Measure Number], 0)),"" )</f>
        <v/>
      </c>
      <c r="N25" s="74" t="str">
        <f t="shared" si="2"/>
        <v/>
      </c>
      <c r="O25" s="74" t="str">
        <f>IF(Table_Controls_Input22[[#This Row],[Measure Number]]="", "", Table_Controls_Input22[[#This Row],[Total Equipment Cost]]+Table_Controls_Input22[[#This Row],[Total Labor Cost]])</f>
        <v/>
      </c>
      <c r="P25" s="74" t="str">
        <f>IFERROR(Table_Controls_Input22[[#This Row],[Gross Measure Cost]]-Table_Controls_Input22[[#This Row],[Estimated Incentive]], "")</f>
        <v/>
      </c>
      <c r="Q25" s="75" t="str">
        <f t="shared" si="1"/>
        <v/>
      </c>
      <c r="R25" s="3"/>
      <c r="S25" s="3"/>
      <c r="T25" s="3"/>
      <c r="U25" s="3"/>
      <c r="V25" s="3"/>
      <c r="W25" s="3"/>
      <c r="X25" s="3"/>
      <c r="Y25" s="3"/>
      <c r="Z25" s="3"/>
      <c r="AA25" s="3"/>
      <c r="AB25" s="3"/>
      <c r="AC25" s="3"/>
      <c r="AD25" s="3"/>
      <c r="AE25" s="3"/>
      <c r="AF25" s="3"/>
      <c r="AG25" s="3"/>
      <c r="AH25" s="3"/>
      <c r="AI25" s="3"/>
      <c r="AJ25" s="3"/>
      <c r="AK25" s="3"/>
      <c r="AL25" s="3"/>
      <c r="AM25" s="3"/>
    </row>
    <row r="26" spans="1:39" x14ac:dyDescent="0.2">
      <c r="A26" s="3"/>
      <c r="B26" s="71">
        <v>22</v>
      </c>
      <c r="C26" s="69" t="str">
        <f>IFERROR(INDEX(Table_Prescript_Meas[Measure Number], MATCH(E26, Table_Prescript_Meas[Measure Description], 0)), "")</f>
        <v/>
      </c>
      <c r="D26" s="61"/>
      <c r="E26" s="60"/>
      <c r="F26" s="69" t="str">
        <f>IFERROR(INDEX(Table_Prescript_Meas[Units], MATCH(Table_Controls_Input22[[#This Row],[Measure Number]], Table_Prescript_Meas[Measure Number], 0)), "")</f>
        <v/>
      </c>
      <c r="G26" s="60"/>
      <c r="H26" s="73"/>
      <c r="I26" s="73"/>
      <c r="J26"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26" s="74" t="str">
        <f>IFERROR(Table_Controls_Input22[[#This Row],[Number of Units]]*Table_Controls_Input22[[#This Row],[Per-Unit Incentive]], "")</f>
        <v/>
      </c>
      <c r="L26" s="75" t="str">
        <f>IFERROR(Table_Controls_Input22[[#This Row],[Number of Units]]*INDEX(Table_Prescript_Meas[Deemed kWh Savings], MATCH(Table_Controls_Input22[[#This Row],[Measure Number]], Table_Prescript_Meas[Measure Number], 0)),"" )</f>
        <v/>
      </c>
      <c r="M26" s="81" t="str">
        <f>IFERROR(Table_Controls_Input22[[#This Row],[Number of Units]]*INDEX(Table_Prescript_Meas[Deemed kW Savings], MATCH(Table_Controls_Input22[[#This Row],[Measure Number]], Table_Prescript_Meas[Measure Number], 0)),"" )</f>
        <v/>
      </c>
      <c r="N26" s="74" t="str">
        <f t="shared" si="2"/>
        <v/>
      </c>
      <c r="O26" s="74" t="str">
        <f>IF(Table_Controls_Input22[[#This Row],[Measure Number]]="", "", Table_Controls_Input22[[#This Row],[Total Equipment Cost]]+Table_Controls_Input22[[#This Row],[Total Labor Cost]])</f>
        <v/>
      </c>
      <c r="P26" s="74" t="str">
        <f>IFERROR(Table_Controls_Input22[[#This Row],[Gross Measure Cost]]-Table_Controls_Input22[[#This Row],[Estimated Incentive]], "")</f>
        <v/>
      </c>
      <c r="Q26" s="75" t="str">
        <f t="shared" si="1"/>
        <v/>
      </c>
      <c r="R26" s="3"/>
      <c r="S26" s="3"/>
      <c r="T26" s="3"/>
      <c r="U26" s="3"/>
      <c r="V26" s="3"/>
      <c r="W26" s="3"/>
      <c r="X26" s="3"/>
      <c r="Y26" s="3"/>
      <c r="Z26" s="3"/>
      <c r="AA26" s="3"/>
      <c r="AB26" s="3"/>
      <c r="AC26" s="3"/>
      <c r="AD26" s="3"/>
      <c r="AE26" s="3"/>
      <c r="AF26" s="3"/>
      <c r="AG26" s="3"/>
      <c r="AH26" s="3"/>
      <c r="AI26" s="3"/>
      <c r="AJ26" s="3"/>
      <c r="AK26" s="3"/>
      <c r="AL26" s="3"/>
      <c r="AM26" s="3"/>
    </row>
    <row r="27" spans="1:39" x14ac:dyDescent="0.2">
      <c r="A27" s="3"/>
      <c r="B27" s="71">
        <v>23</v>
      </c>
      <c r="C27" s="69" t="str">
        <f>IFERROR(INDEX(Table_Prescript_Meas[Measure Number], MATCH(E27, Table_Prescript_Meas[Measure Description], 0)), "")</f>
        <v/>
      </c>
      <c r="D27" s="61"/>
      <c r="E27" s="60"/>
      <c r="F27" s="69" t="str">
        <f>IFERROR(INDEX(Table_Prescript_Meas[Units], MATCH(Table_Controls_Input22[[#This Row],[Measure Number]], Table_Prescript_Meas[Measure Number], 0)), "")</f>
        <v/>
      </c>
      <c r="G27" s="60"/>
      <c r="H27" s="73"/>
      <c r="I27" s="73"/>
      <c r="J27"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27" s="74" t="str">
        <f>IFERROR(Table_Controls_Input22[[#This Row],[Number of Units]]*Table_Controls_Input22[[#This Row],[Per-Unit Incentive]], "")</f>
        <v/>
      </c>
      <c r="L27" s="75" t="str">
        <f>IFERROR(Table_Controls_Input22[[#This Row],[Number of Units]]*INDEX(Table_Prescript_Meas[Deemed kWh Savings], MATCH(Table_Controls_Input22[[#This Row],[Measure Number]], Table_Prescript_Meas[Measure Number], 0)),"" )</f>
        <v/>
      </c>
      <c r="M27" s="81" t="str">
        <f>IFERROR(Table_Controls_Input22[[#This Row],[Number of Units]]*INDEX(Table_Prescript_Meas[Deemed kW Savings], MATCH(Table_Controls_Input22[[#This Row],[Measure Number]], Table_Prescript_Meas[Measure Number], 0)),"" )</f>
        <v/>
      </c>
      <c r="N27" s="74" t="str">
        <f t="shared" si="2"/>
        <v/>
      </c>
      <c r="O27" s="74" t="str">
        <f>IF(Table_Controls_Input22[[#This Row],[Measure Number]]="", "", Table_Controls_Input22[[#This Row],[Total Equipment Cost]]+Table_Controls_Input22[[#This Row],[Total Labor Cost]])</f>
        <v/>
      </c>
      <c r="P27" s="74" t="str">
        <f>IFERROR(Table_Controls_Input22[[#This Row],[Gross Measure Cost]]-Table_Controls_Input22[[#This Row],[Estimated Incentive]], "")</f>
        <v/>
      </c>
      <c r="Q27" s="75" t="str">
        <f t="shared" si="1"/>
        <v/>
      </c>
      <c r="R27" s="3"/>
      <c r="S27" s="3"/>
      <c r="T27" s="3"/>
      <c r="U27" s="3"/>
      <c r="V27" s="3"/>
      <c r="W27" s="3"/>
      <c r="X27" s="3"/>
      <c r="Y27" s="3"/>
      <c r="Z27" s="3"/>
      <c r="AA27" s="3"/>
      <c r="AB27" s="3"/>
      <c r="AC27" s="3"/>
      <c r="AD27" s="3"/>
      <c r="AE27" s="3"/>
      <c r="AF27" s="3"/>
      <c r="AG27" s="3"/>
      <c r="AH27" s="3"/>
      <c r="AI27" s="3"/>
      <c r="AJ27" s="3"/>
      <c r="AK27" s="3"/>
      <c r="AL27" s="3"/>
      <c r="AM27" s="3"/>
    </row>
    <row r="28" spans="1:39" x14ac:dyDescent="0.2">
      <c r="A28" s="3"/>
      <c r="B28" s="71">
        <v>24</v>
      </c>
      <c r="C28" s="69" t="str">
        <f>IFERROR(INDEX(Table_Prescript_Meas[Measure Number], MATCH(E28, Table_Prescript_Meas[Measure Description], 0)), "")</f>
        <v/>
      </c>
      <c r="D28" s="61"/>
      <c r="E28" s="60"/>
      <c r="F28" s="69" t="str">
        <f>IFERROR(INDEX(Table_Prescript_Meas[Units], MATCH(Table_Controls_Input22[[#This Row],[Measure Number]], Table_Prescript_Meas[Measure Number], 0)), "")</f>
        <v/>
      </c>
      <c r="G28" s="60"/>
      <c r="H28" s="73"/>
      <c r="I28" s="73"/>
      <c r="J28"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28" s="74" t="str">
        <f>IFERROR(Table_Controls_Input22[[#This Row],[Number of Units]]*Table_Controls_Input22[[#This Row],[Per-Unit Incentive]], "")</f>
        <v/>
      </c>
      <c r="L28" s="75" t="str">
        <f>IFERROR(Table_Controls_Input22[[#This Row],[Number of Units]]*INDEX(Table_Prescript_Meas[Deemed kWh Savings], MATCH(Table_Controls_Input22[[#This Row],[Measure Number]], Table_Prescript_Meas[Measure Number], 0)),"" )</f>
        <v/>
      </c>
      <c r="M28" s="81" t="str">
        <f>IFERROR(Table_Controls_Input22[[#This Row],[Number of Units]]*INDEX(Table_Prescript_Meas[Deemed kW Savings], MATCH(Table_Controls_Input22[[#This Row],[Measure Number]], Table_Prescript_Meas[Measure Number], 0)),"" )</f>
        <v/>
      </c>
      <c r="N28" s="74" t="str">
        <f t="shared" si="2"/>
        <v/>
      </c>
      <c r="O28" s="74" t="str">
        <f>IF(Table_Controls_Input22[[#This Row],[Measure Number]]="", "", Table_Controls_Input22[[#This Row],[Total Equipment Cost]]+Table_Controls_Input22[[#This Row],[Total Labor Cost]])</f>
        <v/>
      </c>
      <c r="P28" s="74" t="str">
        <f>IFERROR(Table_Controls_Input22[[#This Row],[Gross Measure Cost]]-Table_Controls_Input22[[#This Row],[Estimated Incentive]], "")</f>
        <v/>
      </c>
      <c r="Q28" s="75" t="str">
        <f t="shared" si="1"/>
        <v/>
      </c>
      <c r="R28" s="3"/>
      <c r="S28" s="3"/>
      <c r="T28" s="3"/>
      <c r="U28" s="3"/>
      <c r="V28" s="3"/>
      <c r="W28" s="3"/>
      <c r="X28" s="3"/>
      <c r="Y28" s="3"/>
      <c r="Z28" s="3"/>
      <c r="AA28" s="3"/>
      <c r="AB28" s="3"/>
      <c r="AC28" s="3"/>
      <c r="AD28" s="3"/>
      <c r="AE28" s="3"/>
      <c r="AF28" s="3"/>
      <c r="AG28" s="3"/>
      <c r="AH28" s="3"/>
      <c r="AI28" s="3"/>
      <c r="AJ28" s="3"/>
      <c r="AK28" s="3"/>
      <c r="AL28" s="3"/>
      <c r="AM28" s="3"/>
    </row>
    <row r="29" spans="1:39" x14ac:dyDescent="0.2">
      <c r="A29" s="3"/>
      <c r="B29" s="71">
        <v>25</v>
      </c>
      <c r="C29" s="69" t="str">
        <f>IFERROR(INDEX(Table_Prescript_Meas[Measure Number], MATCH(E29, Table_Prescript_Meas[Measure Description], 0)), "")</f>
        <v/>
      </c>
      <c r="D29" s="61"/>
      <c r="E29" s="60"/>
      <c r="F29" s="69" t="str">
        <f>IFERROR(INDEX(Table_Prescript_Meas[Units], MATCH(Table_Controls_Input22[[#This Row],[Measure Number]], Table_Prescript_Meas[Measure Number], 0)), "")</f>
        <v/>
      </c>
      <c r="G29" s="60"/>
      <c r="H29" s="73"/>
      <c r="I29" s="73"/>
      <c r="J29"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29" s="74" t="str">
        <f>IFERROR(Table_Controls_Input22[[#This Row],[Number of Units]]*Table_Controls_Input22[[#This Row],[Per-Unit Incentive]], "")</f>
        <v/>
      </c>
      <c r="L29" s="75" t="str">
        <f>IFERROR(Table_Controls_Input22[[#This Row],[Number of Units]]*INDEX(Table_Prescript_Meas[Deemed kWh Savings], MATCH(Table_Controls_Input22[[#This Row],[Measure Number]], Table_Prescript_Meas[Measure Number], 0)),"" )</f>
        <v/>
      </c>
      <c r="M29" s="81" t="str">
        <f>IFERROR(Table_Controls_Input22[[#This Row],[Number of Units]]*INDEX(Table_Prescript_Meas[Deemed kW Savings], MATCH(Table_Controls_Input22[[#This Row],[Measure Number]], Table_Prescript_Meas[Measure Number], 0)),"" )</f>
        <v/>
      </c>
      <c r="N29" s="74" t="str">
        <f t="shared" si="2"/>
        <v/>
      </c>
      <c r="O29" s="74" t="str">
        <f>IF(Table_Controls_Input22[[#This Row],[Measure Number]]="", "", Table_Controls_Input22[[#This Row],[Total Equipment Cost]]+Table_Controls_Input22[[#This Row],[Total Labor Cost]])</f>
        <v/>
      </c>
      <c r="P29" s="74" t="str">
        <f>IFERROR(Table_Controls_Input22[[#This Row],[Gross Measure Cost]]-Table_Controls_Input22[[#This Row],[Estimated Incentive]], "")</f>
        <v/>
      </c>
      <c r="Q29" s="75" t="str">
        <f t="shared" si="1"/>
        <v/>
      </c>
      <c r="R29" s="3"/>
      <c r="S29" s="3"/>
      <c r="T29" s="3"/>
      <c r="U29" s="3"/>
      <c r="V29" s="3"/>
      <c r="W29" s="3"/>
      <c r="X29" s="3"/>
      <c r="Y29" s="3"/>
      <c r="Z29" s="3"/>
      <c r="AA29" s="3"/>
      <c r="AB29" s="3"/>
      <c r="AC29" s="3"/>
      <c r="AD29" s="3"/>
      <c r="AE29" s="3"/>
      <c r="AF29" s="3"/>
      <c r="AG29" s="3"/>
      <c r="AH29" s="3"/>
      <c r="AI29" s="3"/>
      <c r="AJ29" s="3"/>
      <c r="AK29" s="3"/>
      <c r="AL29" s="3"/>
      <c r="AM29" s="3"/>
    </row>
    <row r="30" spans="1:39" x14ac:dyDescent="0.2">
      <c r="A30" s="3"/>
      <c r="B30" s="71">
        <v>26</v>
      </c>
      <c r="C30" s="69" t="str">
        <f>IFERROR(INDEX(Table_Prescript_Meas[Measure Number], MATCH(E30, Table_Prescript_Meas[Measure Description], 0)), "")</f>
        <v/>
      </c>
      <c r="D30" s="61"/>
      <c r="E30" s="60"/>
      <c r="F30" s="69" t="str">
        <f>IFERROR(INDEX(Table_Prescript_Meas[Units], MATCH(Table_Controls_Input22[[#This Row],[Measure Number]], Table_Prescript_Meas[Measure Number], 0)), "")</f>
        <v/>
      </c>
      <c r="G30" s="60"/>
      <c r="H30" s="73"/>
      <c r="I30" s="73"/>
      <c r="J30"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30" s="74" t="str">
        <f>IFERROR(Table_Controls_Input22[[#This Row],[Number of Units]]*Table_Controls_Input22[[#This Row],[Per-Unit Incentive]], "")</f>
        <v/>
      </c>
      <c r="L30" s="75" t="str">
        <f>IFERROR(Table_Controls_Input22[[#This Row],[Number of Units]]*INDEX(Table_Prescript_Meas[Deemed kWh Savings], MATCH(Table_Controls_Input22[[#This Row],[Measure Number]], Table_Prescript_Meas[Measure Number], 0)),"" )</f>
        <v/>
      </c>
      <c r="M30" s="81" t="str">
        <f>IFERROR(Table_Controls_Input22[[#This Row],[Number of Units]]*INDEX(Table_Prescript_Meas[Deemed kW Savings], MATCH(Table_Controls_Input22[[#This Row],[Measure Number]], Table_Prescript_Meas[Measure Number], 0)),"" )</f>
        <v/>
      </c>
      <c r="N30" s="74" t="str">
        <f t="shared" si="2"/>
        <v/>
      </c>
      <c r="O30" s="74" t="str">
        <f>IF(Table_Controls_Input22[[#This Row],[Measure Number]]="", "", Table_Controls_Input22[[#This Row],[Total Equipment Cost]]+Table_Controls_Input22[[#This Row],[Total Labor Cost]])</f>
        <v/>
      </c>
      <c r="P30" s="74" t="str">
        <f>IFERROR(Table_Controls_Input22[[#This Row],[Gross Measure Cost]]-Table_Controls_Input22[[#This Row],[Estimated Incentive]], "")</f>
        <v/>
      </c>
      <c r="Q30" s="75" t="str">
        <f t="shared" si="1"/>
        <v/>
      </c>
      <c r="R30" s="3"/>
      <c r="S30" s="3"/>
      <c r="T30" s="3"/>
      <c r="U30" s="3"/>
      <c r="V30" s="3"/>
      <c r="W30" s="3"/>
      <c r="X30" s="3"/>
      <c r="Y30" s="3"/>
      <c r="Z30" s="3"/>
      <c r="AA30" s="3"/>
      <c r="AB30" s="3"/>
      <c r="AC30" s="3"/>
      <c r="AD30" s="3"/>
      <c r="AE30" s="3"/>
      <c r="AF30" s="3"/>
      <c r="AG30" s="3"/>
      <c r="AH30" s="3"/>
      <c r="AI30" s="3"/>
      <c r="AJ30" s="3"/>
      <c r="AK30" s="3"/>
      <c r="AL30" s="3"/>
      <c r="AM30" s="3"/>
    </row>
    <row r="31" spans="1:39" x14ac:dyDescent="0.2">
      <c r="A31" s="4"/>
      <c r="B31" s="71">
        <v>27</v>
      </c>
      <c r="C31" s="69" t="str">
        <f>IFERROR(INDEX(Table_Prescript_Meas[Measure Number], MATCH(E31, Table_Prescript_Meas[Measure Description], 0)), "")</f>
        <v/>
      </c>
      <c r="D31" s="61"/>
      <c r="E31" s="60"/>
      <c r="F31" s="69" t="str">
        <f>IFERROR(INDEX(Table_Prescript_Meas[Units], MATCH(Table_Controls_Input22[[#This Row],[Measure Number]], Table_Prescript_Meas[Measure Number], 0)), "")</f>
        <v/>
      </c>
      <c r="G31" s="60"/>
      <c r="H31" s="73"/>
      <c r="I31" s="73"/>
      <c r="J31"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31" s="74" t="str">
        <f>IFERROR(Table_Controls_Input22[[#This Row],[Number of Units]]*Table_Controls_Input22[[#This Row],[Per-Unit Incentive]], "")</f>
        <v/>
      </c>
      <c r="L31" s="75" t="str">
        <f>IFERROR(Table_Controls_Input22[[#This Row],[Number of Units]]*INDEX(Table_Prescript_Meas[Deemed kWh Savings], MATCH(Table_Controls_Input22[[#This Row],[Measure Number]], Table_Prescript_Meas[Measure Number], 0)),"" )</f>
        <v/>
      </c>
      <c r="M31" s="81" t="str">
        <f>IFERROR(Table_Controls_Input22[[#This Row],[Number of Units]]*INDEX(Table_Prescript_Meas[Deemed kW Savings], MATCH(Table_Controls_Input22[[#This Row],[Measure Number]], Table_Prescript_Meas[Measure Number], 0)),"" )</f>
        <v/>
      </c>
      <c r="N31" s="74" t="str">
        <f t="shared" si="2"/>
        <v/>
      </c>
      <c r="O31" s="74" t="str">
        <f>IF(Table_Controls_Input22[[#This Row],[Measure Number]]="", "", Table_Controls_Input22[[#This Row],[Total Equipment Cost]]+Table_Controls_Input22[[#This Row],[Total Labor Cost]])</f>
        <v/>
      </c>
      <c r="P31" s="74" t="str">
        <f>IFERROR(Table_Controls_Input22[[#This Row],[Gross Measure Cost]]-Table_Controls_Input22[[#This Row],[Estimated Incentive]], "")</f>
        <v/>
      </c>
      <c r="Q31" s="75" t="str">
        <f t="shared" si="1"/>
        <v/>
      </c>
      <c r="R31" s="4"/>
      <c r="S31" s="4"/>
      <c r="T31" s="4"/>
      <c r="U31" s="4"/>
      <c r="V31" s="4"/>
      <c r="W31" s="4"/>
      <c r="X31" s="4"/>
      <c r="Y31" s="4"/>
      <c r="Z31" s="4"/>
      <c r="AA31" s="4"/>
      <c r="AB31" s="4"/>
      <c r="AC31" s="4"/>
      <c r="AD31" s="4"/>
      <c r="AE31" s="4"/>
      <c r="AF31" s="4"/>
      <c r="AG31" s="4"/>
      <c r="AH31" s="4"/>
      <c r="AI31" s="4"/>
      <c r="AJ31" s="4"/>
      <c r="AK31" s="4"/>
      <c r="AL31" s="4"/>
      <c r="AM31" s="4"/>
    </row>
    <row r="32" spans="1:39" x14ac:dyDescent="0.2">
      <c r="A32" s="4"/>
      <c r="B32" s="71">
        <v>28</v>
      </c>
      <c r="C32" s="69" t="str">
        <f>IFERROR(INDEX(Table_Prescript_Meas[Measure Number], MATCH(E32, Table_Prescript_Meas[Measure Description], 0)), "")</f>
        <v/>
      </c>
      <c r="D32" s="61"/>
      <c r="E32" s="60"/>
      <c r="F32" s="69" t="str">
        <f>IFERROR(INDEX(Table_Prescript_Meas[Units], MATCH(Table_Controls_Input22[[#This Row],[Measure Number]], Table_Prescript_Meas[Measure Number], 0)), "")</f>
        <v/>
      </c>
      <c r="G32" s="60"/>
      <c r="H32" s="73"/>
      <c r="I32" s="73"/>
      <c r="J32"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32" s="74" t="str">
        <f>IFERROR(Table_Controls_Input22[[#This Row],[Number of Units]]*Table_Controls_Input22[[#This Row],[Per-Unit Incentive]], "")</f>
        <v/>
      </c>
      <c r="L32" s="75" t="str">
        <f>IFERROR(Table_Controls_Input22[[#This Row],[Number of Units]]*INDEX(Table_Prescript_Meas[Deemed kWh Savings], MATCH(Table_Controls_Input22[[#This Row],[Measure Number]], Table_Prescript_Meas[Measure Number], 0)),"" )</f>
        <v/>
      </c>
      <c r="M32" s="81" t="str">
        <f>IFERROR(Table_Controls_Input22[[#This Row],[Number of Units]]*INDEX(Table_Prescript_Meas[Deemed kW Savings], MATCH(Table_Controls_Input22[[#This Row],[Measure Number]], Table_Prescript_Meas[Measure Number], 0)),"" )</f>
        <v/>
      </c>
      <c r="N32" s="74" t="str">
        <f t="shared" si="2"/>
        <v/>
      </c>
      <c r="O32" s="74" t="str">
        <f>IF(Table_Controls_Input22[[#This Row],[Measure Number]]="", "", Table_Controls_Input22[[#This Row],[Total Equipment Cost]]+Table_Controls_Input22[[#This Row],[Total Labor Cost]])</f>
        <v/>
      </c>
      <c r="P32" s="74" t="str">
        <f>IFERROR(Table_Controls_Input22[[#This Row],[Gross Measure Cost]]-Table_Controls_Input22[[#This Row],[Estimated Incentive]], "")</f>
        <v/>
      </c>
      <c r="Q32" s="75" t="str">
        <f t="shared" si="1"/>
        <v/>
      </c>
      <c r="R32" s="4"/>
      <c r="S32" s="4"/>
      <c r="T32" s="4"/>
      <c r="U32" s="4"/>
      <c r="V32" s="4"/>
      <c r="W32" s="4"/>
      <c r="X32" s="4"/>
      <c r="Y32" s="4"/>
      <c r="Z32" s="4"/>
      <c r="AA32" s="4"/>
      <c r="AB32" s="4"/>
      <c r="AC32" s="4"/>
      <c r="AD32" s="4"/>
      <c r="AE32" s="4"/>
      <c r="AF32" s="4"/>
      <c r="AG32" s="4"/>
      <c r="AH32" s="4"/>
      <c r="AI32" s="4"/>
      <c r="AJ32" s="4"/>
      <c r="AK32" s="4"/>
      <c r="AL32" s="4"/>
      <c r="AM32" s="4"/>
    </row>
    <row r="33" spans="1:39" x14ac:dyDescent="0.2">
      <c r="A33" s="4"/>
      <c r="B33" s="71">
        <v>29</v>
      </c>
      <c r="C33" s="69" t="str">
        <f>IFERROR(INDEX(Table_Prescript_Meas[Measure Number], MATCH(E33, Table_Prescript_Meas[Measure Description], 0)), "")</f>
        <v/>
      </c>
      <c r="D33" s="61"/>
      <c r="E33" s="60"/>
      <c r="F33" s="69" t="str">
        <f>IFERROR(INDEX(Table_Prescript_Meas[Units], MATCH(Table_Controls_Input22[[#This Row],[Measure Number]], Table_Prescript_Meas[Measure Number], 0)), "")</f>
        <v/>
      </c>
      <c r="G33" s="60"/>
      <c r="H33" s="73"/>
      <c r="I33" s="73"/>
      <c r="J33"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33" s="74" t="str">
        <f>IFERROR(Table_Controls_Input22[[#This Row],[Number of Units]]*Table_Controls_Input22[[#This Row],[Per-Unit Incentive]], "")</f>
        <v/>
      </c>
      <c r="L33" s="75" t="str">
        <f>IFERROR(Table_Controls_Input22[[#This Row],[Number of Units]]*INDEX(Table_Prescript_Meas[Deemed kWh Savings], MATCH(Table_Controls_Input22[[#This Row],[Measure Number]], Table_Prescript_Meas[Measure Number], 0)),"" )</f>
        <v/>
      </c>
      <c r="M33" s="81" t="str">
        <f>IFERROR(Table_Controls_Input22[[#This Row],[Number of Units]]*INDEX(Table_Prescript_Meas[Deemed kW Savings], MATCH(Table_Controls_Input22[[#This Row],[Measure Number]], Table_Prescript_Meas[Measure Number], 0)),"" )</f>
        <v/>
      </c>
      <c r="N33" s="74" t="str">
        <f t="shared" si="2"/>
        <v/>
      </c>
      <c r="O33" s="74" t="str">
        <f>IF(Table_Controls_Input22[[#This Row],[Measure Number]]="", "", Table_Controls_Input22[[#This Row],[Total Equipment Cost]]+Table_Controls_Input22[[#This Row],[Total Labor Cost]])</f>
        <v/>
      </c>
      <c r="P33" s="74" t="str">
        <f>IFERROR(Table_Controls_Input22[[#This Row],[Gross Measure Cost]]-Table_Controls_Input22[[#This Row],[Estimated Incentive]], "")</f>
        <v/>
      </c>
      <c r="Q33" s="75" t="str">
        <f t="shared" si="1"/>
        <v/>
      </c>
      <c r="R33" s="4"/>
      <c r="S33" s="4"/>
      <c r="T33" s="4"/>
      <c r="U33" s="4"/>
      <c r="V33" s="4"/>
      <c r="W33" s="4"/>
      <c r="X33" s="4"/>
      <c r="Y33" s="4"/>
      <c r="Z33" s="4"/>
      <c r="AA33" s="4"/>
      <c r="AB33" s="4"/>
      <c r="AC33" s="4"/>
      <c r="AD33" s="4"/>
      <c r="AE33" s="4"/>
      <c r="AF33" s="4"/>
      <c r="AG33" s="4"/>
      <c r="AH33" s="4"/>
      <c r="AI33" s="4"/>
      <c r="AJ33" s="4"/>
      <c r="AK33" s="4"/>
      <c r="AL33" s="4"/>
      <c r="AM33" s="4"/>
    </row>
    <row r="34" spans="1:39" x14ac:dyDescent="0.2">
      <c r="A34" s="4"/>
      <c r="B34" s="71">
        <v>30</v>
      </c>
      <c r="C34" s="69" t="str">
        <f>IFERROR(INDEX(Table_Prescript_Meas[Measure Number], MATCH(E34, Table_Prescript_Meas[Measure Description], 0)), "")</f>
        <v/>
      </c>
      <c r="D34" s="61"/>
      <c r="E34" s="60"/>
      <c r="F34" s="69" t="str">
        <f>IFERROR(INDEX(Table_Prescript_Meas[Units], MATCH(Table_Controls_Input22[[#This Row],[Measure Number]], Table_Prescript_Meas[Measure Number], 0)), "")</f>
        <v/>
      </c>
      <c r="G34" s="60"/>
      <c r="H34" s="73"/>
      <c r="I34" s="73"/>
      <c r="J34" s="74" t="str">
        <f>IFERROR(IF(Input_ProgramType=References!$W$4, INDEX(Table_Prescript_Meas[Incentive - SC], MATCH(Table_Controls_Input22[[#This Row],[Measure Number]], Table_Prescript_Meas[Measure Number], 0)), INDEX(Table_Prescript_Meas[Incentive - LC], MATCH(Table_Controls_Input22[[#This Row],[Measure Number]], Table_Prescript_Meas[Measure Number], 0))), "")</f>
        <v/>
      </c>
      <c r="K34" s="74" t="str">
        <f>IFERROR(Table_Controls_Input22[[#This Row],[Number of Units]]*Table_Controls_Input22[[#This Row],[Per-Unit Incentive]], "")</f>
        <v/>
      </c>
      <c r="L34" s="75" t="str">
        <f>IFERROR(Table_Controls_Input22[[#This Row],[Number of Units]]*INDEX(Table_Prescript_Meas[Deemed kWh Savings], MATCH(Table_Controls_Input22[[#This Row],[Measure Number]], Table_Prescript_Meas[Measure Number], 0)),"" )</f>
        <v/>
      </c>
      <c r="M34" s="81" t="str">
        <f>IFERROR(Table_Controls_Input22[[#This Row],[Number of Units]]*INDEX(Table_Prescript_Meas[Deemed kW Savings], MATCH(Table_Controls_Input22[[#This Row],[Measure Number]], Table_Prescript_Meas[Measure Number], 0)),"" )</f>
        <v/>
      </c>
      <c r="N34" s="74" t="str">
        <f t="shared" si="2"/>
        <v/>
      </c>
      <c r="O34" s="74" t="str">
        <f>IF(Table_Controls_Input22[[#This Row],[Measure Number]]="", "", Table_Controls_Input22[[#This Row],[Total Equipment Cost]]+Table_Controls_Input22[[#This Row],[Total Labor Cost]])</f>
        <v/>
      </c>
      <c r="P34" s="74" t="str">
        <f>IFERROR(Table_Controls_Input22[[#This Row],[Gross Measure Cost]]-Table_Controls_Input22[[#This Row],[Estimated Incentive]], "")</f>
        <v/>
      </c>
      <c r="Q34" s="75" t="str">
        <f t="shared" si="1"/>
        <v/>
      </c>
      <c r="R34" s="4"/>
      <c r="S34" s="4"/>
      <c r="T34" s="4"/>
      <c r="U34" s="4"/>
      <c r="V34" s="4"/>
      <c r="W34" s="4"/>
      <c r="X34" s="4"/>
      <c r="Y34" s="4"/>
      <c r="Z34" s="4"/>
      <c r="AA34" s="4"/>
      <c r="AB34" s="4"/>
      <c r="AC34" s="4"/>
      <c r="AD34" s="4"/>
      <c r="AE34" s="4"/>
      <c r="AF34" s="4"/>
      <c r="AG34" s="4"/>
      <c r="AH34" s="4"/>
      <c r="AI34" s="4"/>
      <c r="AJ34" s="4"/>
      <c r="AK34" s="4"/>
      <c r="AL34" s="4"/>
      <c r="AM34" s="4"/>
    </row>
    <row r="35" spans="1:39" x14ac:dyDescent="0.2">
      <c r="A35" s="4"/>
      <c r="R35" s="4"/>
      <c r="S35" s="4"/>
      <c r="T35" s="4"/>
      <c r="U35" s="4"/>
      <c r="V35" s="4"/>
      <c r="W35" s="4"/>
      <c r="X35" s="4"/>
      <c r="Y35" s="4"/>
      <c r="Z35" s="4"/>
      <c r="AA35" s="4"/>
      <c r="AB35" s="4"/>
      <c r="AC35" s="4"/>
      <c r="AD35" s="4"/>
      <c r="AE35" s="4"/>
      <c r="AF35" s="4"/>
      <c r="AG35" s="4"/>
      <c r="AH35" s="4"/>
      <c r="AI35" s="4"/>
      <c r="AJ35" s="4"/>
      <c r="AK35" s="4"/>
      <c r="AL35" s="4"/>
      <c r="AM35" s="4"/>
    </row>
    <row r="36" spans="1:39" x14ac:dyDescent="0.2"/>
    <row r="37" spans="1:39" x14ac:dyDescent="0.2">
      <c r="B37" t="s">
        <v>11</v>
      </c>
    </row>
    <row r="38" spans="1:39" x14ac:dyDescent="0.2">
      <c r="B38" t="str">
        <f>Value_Application_Version</f>
        <v>Version 3.1</v>
      </c>
    </row>
    <row r="39" spans="1:39" x14ac:dyDescent="0.2"/>
    <row r="40" spans="1:39" x14ac:dyDescent="0.2">
      <c r="A40" s="4"/>
      <c r="R40" s="4"/>
      <c r="S40" s="4"/>
      <c r="T40" s="4"/>
      <c r="U40" s="4"/>
      <c r="V40" s="4"/>
      <c r="W40" s="4"/>
      <c r="X40" s="4"/>
      <c r="Y40" s="4"/>
      <c r="Z40" s="4"/>
      <c r="AA40" s="4"/>
      <c r="AB40" s="4"/>
      <c r="AC40" s="4"/>
      <c r="AD40" s="4"/>
      <c r="AE40" s="4"/>
      <c r="AF40" s="4"/>
      <c r="AG40" s="4"/>
      <c r="AH40" s="4"/>
      <c r="AI40" s="4"/>
      <c r="AJ40" s="4"/>
      <c r="AK40" s="4"/>
      <c r="AL40" s="4"/>
      <c r="AM40" s="4"/>
    </row>
    <row r="41" spans="1:39" x14ac:dyDescent="0.2">
      <c r="A41" s="4"/>
      <c r="R41" s="4"/>
      <c r="S41" s="4"/>
      <c r="T41" s="4"/>
      <c r="U41" s="4"/>
      <c r="V41" s="4"/>
      <c r="W41" s="4"/>
      <c r="X41" s="4"/>
      <c r="Y41" s="4"/>
      <c r="Z41" s="4"/>
      <c r="AA41" s="4"/>
      <c r="AB41" s="4"/>
      <c r="AC41" s="4"/>
      <c r="AD41" s="4"/>
      <c r="AE41" s="4"/>
      <c r="AF41" s="4"/>
      <c r="AG41" s="4"/>
      <c r="AH41" s="4"/>
      <c r="AI41" s="4"/>
      <c r="AJ41" s="4"/>
      <c r="AK41" s="4"/>
      <c r="AL41" s="4"/>
      <c r="AM41" s="4"/>
    </row>
    <row r="42" spans="1:39" x14ac:dyDescent="0.2">
      <c r="A42" s="4"/>
      <c r="R42" s="4"/>
      <c r="S42" s="4"/>
      <c r="T42" s="4"/>
      <c r="U42" s="4"/>
      <c r="V42" s="4"/>
      <c r="W42" s="4"/>
      <c r="X42" s="4"/>
      <c r="Y42" s="4"/>
      <c r="Z42" s="4"/>
      <c r="AA42" s="4"/>
      <c r="AB42" s="4"/>
      <c r="AC42" s="4"/>
      <c r="AD42" s="4"/>
      <c r="AE42" s="4"/>
      <c r="AF42" s="4"/>
      <c r="AG42" s="4"/>
      <c r="AH42" s="4"/>
      <c r="AI42" s="4"/>
      <c r="AJ42" s="4"/>
      <c r="AK42" s="4"/>
      <c r="AL42" s="4"/>
      <c r="AM42" s="4"/>
    </row>
    <row r="43" spans="1:39" x14ac:dyDescent="0.2">
      <c r="A43" s="4"/>
      <c r="R43" s="4"/>
      <c r="S43" s="4"/>
      <c r="T43" s="4"/>
      <c r="U43" s="4"/>
      <c r="V43" s="4"/>
      <c r="W43" s="4"/>
      <c r="X43" s="4"/>
      <c r="Y43" s="4"/>
      <c r="Z43" s="4"/>
      <c r="AA43" s="4"/>
      <c r="AB43" s="4"/>
      <c r="AC43" s="4"/>
      <c r="AD43" s="4"/>
      <c r="AE43" s="4"/>
      <c r="AF43" s="4"/>
      <c r="AG43" s="4"/>
      <c r="AH43" s="4"/>
      <c r="AI43" s="4"/>
      <c r="AJ43" s="4"/>
      <c r="AK43" s="4"/>
      <c r="AL43" s="4"/>
      <c r="AM43" s="4"/>
    </row>
    <row r="44" spans="1:39" x14ac:dyDescent="0.2">
      <c r="A44" s="4"/>
      <c r="R44" s="4"/>
      <c r="S44" s="4"/>
      <c r="T44" s="4"/>
      <c r="U44" s="4"/>
      <c r="V44" s="4"/>
      <c r="W44" s="4"/>
      <c r="X44" s="4"/>
      <c r="Y44" s="4"/>
      <c r="Z44" s="4"/>
      <c r="AA44" s="4"/>
      <c r="AB44" s="4"/>
      <c r="AC44" s="4"/>
      <c r="AD44" s="4"/>
      <c r="AE44" s="4"/>
      <c r="AF44" s="4"/>
      <c r="AG44" s="4"/>
      <c r="AH44" s="4"/>
      <c r="AI44" s="4"/>
      <c r="AJ44" s="4"/>
      <c r="AK44" s="4"/>
      <c r="AL44" s="4"/>
      <c r="AM44" s="4"/>
    </row>
    <row r="45" spans="1:39" x14ac:dyDescent="0.2">
      <c r="A45" s="4"/>
      <c r="R45" s="4"/>
      <c r="S45" s="4"/>
      <c r="T45" s="4"/>
      <c r="U45" s="4"/>
      <c r="V45" s="4"/>
      <c r="W45" s="4"/>
      <c r="X45" s="4"/>
      <c r="Y45" s="4"/>
      <c r="Z45" s="4"/>
      <c r="AA45" s="4"/>
      <c r="AB45" s="4"/>
      <c r="AC45" s="4"/>
      <c r="AD45" s="4"/>
      <c r="AE45" s="4"/>
      <c r="AF45" s="4"/>
      <c r="AG45" s="4"/>
      <c r="AH45" s="4"/>
      <c r="AI45" s="4"/>
      <c r="AJ45" s="4"/>
      <c r="AK45" s="4"/>
      <c r="AL45" s="4"/>
      <c r="AM45" s="4"/>
    </row>
    <row r="46" spans="1:39" x14ac:dyDescent="0.2">
      <c r="A46" s="4"/>
      <c r="R46" s="4"/>
      <c r="S46" s="4"/>
      <c r="T46" s="4"/>
      <c r="U46" s="4"/>
      <c r="V46" s="4"/>
      <c r="W46" s="4"/>
      <c r="X46" s="4"/>
      <c r="Y46" s="4"/>
      <c r="Z46" s="4"/>
      <c r="AA46" s="4"/>
      <c r="AB46" s="4"/>
      <c r="AC46" s="4"/>
      <c r="AD46" s="4"/>
      <c r="AE46" s="4"/>
      <c r="AF46" s="4"/>
      <c r="AG46" s="4"/>
      <c r="AH46" s="4"/>
      <c r="AI46" s="4"/>
      <c r="AJ46" s="4"/>
      <c r="AK46" s="4"/>
      <c r="AL46" s="4"/>
      <c r="AM46" s="4"/>
    </row>
    <row r="47" spans="1:39" x14ac:dyDescent="0.2">
      <c r="A47" s="4"/>
      <c r="R47" s="4"/>
      <c r="S47" s="4"/>
      <c r="T47" s="4"/>
      <c r="U47" s="4"/>
      <c r="V47" s="4"/>
      <c r="W47" s="4"/>
      <c r="X47" s="4"/>
      <c r="Y47" s="4"/>
      <c r="Z47" s="4"/>
      <c r="AA47" s="4"/>
      <c r="AB47" s="4"/>
      <c r="AC47" s="4"/>
      <c r="AD47" s="4"/>
      <c r="AE47" s="4"/>
      <c r="AF47" s="4"/>
      <c r="AG47" s="4"/>
      <c r="AH47" s="4"/>
      <c r="AI47" s="4"/>
      <c r="AJ47" s="4"/>
      <c r="AK47" s="4"/>
      <c r="AL47" s="4"/>
      <c r="AM47" s="4"/>
    </row>
    <row r="48" spans="1:39" x14ac:dyDescent="0.2">
      <c r="A48" s="4"/>
      <c r="R48" s="4"/>
      <c r="S48" s="4"/>
      <c r="T48" s="4"/>
      <c r="U48" s="4"/>
      <c r="V48" s="4"/>
      <c r="W48" s="4"/>
      <c r="X48" s="4"/>
      <c r="Y48" s="4"/>
      <c r="Z48" s="4"/>
      <c r="AA48" s="4"/>
      <c r="AB48" s="4"/>
      <c r="AC48" s="4"/>
      <c r="AD48" s="4"/>
      <c r="AE48" s="4"/>
      <c r="AF48" s="4"/>
      <c r="AG48" s="4"/>
      <c r="AH48" s="4"/>
      <c r="AI48" s="4"/>
      <c r="AJ48" s="4"/>
      <c r="AK48" s="4"/>
      <c r="AL48" s="4"/>
      <c r="AM48" s="4"/>
    </row>
    <row r="49" spans="1:39" x14ac:dyDescent="0.2">
      <c r="A49" s="4"/>
      <c r="R49" s="4"/>
      <c r="S49" s="4"/>
      <c r="T49" s="4"/>
      <c r="U49" s="4"/>
      <c r="V49" s="4"/>
      <c r="W49" s="4"/>
      <c r="X49" s="4"/>
      <c r="Y49" s="4"/>
      <c r="Z49" s="4"/>
      <c r="AA49" s="4"/>
      <c r="AB49" s="4"/>
      <c r="AC49" s="4"/>
      <c r="AD49" s="4"/>
      <c r="AE49" s="4"/>
      <c r="AF49" s="4"/>
      <c r="AG49" s="4"/>
      <c r="AH49" s="4"/>
      <c r="AI49" s="4"/>
      <c r="AJ49" s="4"/>
      <c r="AK49" s="4"/>
      <c r="AL49" s="4"/>
      <c r="AM49" s="4"/>
    </row>
    <row r="50" spans="1:39" x14ac:dyDescent="0.2">
      <c r="A50" s="4"/>
      <c r="R50" s="4"/>
      <c r="S50" s="4"/>
      <c r="T50" s="4"/>
      <c r="U50" s="4"/>
      <c r="V50" s="4"/>
      <c r="W50" s="4"/>
      <c r="X50" s="4"/>
      <c r="Y50" s="4"/>
      <c r="Z50" s="4"/>
      <c r="AA50" s="4"/>
      <c r="AB50" s="4"/>
      <c r="AC50" s="4"/>
      <c r="AD50" s="4"/>
      <c r="AE50" s="4"/>
      <c r="AF50" s="4"/>
      <c r="AG50" s="4"/>
      <c r="AH50" s="4"/>
      <c r="AI50" s="4"/>
      <c r="AJ50" s="4"/>
      <c r="AK50" s="4"/>
      <c r="AL50" s="4"/>
      <c r="AM50" s="4"/>
    </row>
    <row r="51" spans="1:39" x14ac:dyDescent="0.2">
      <c r="A51" s="4"/>
      <c r="R51" s="4"/>
      <c r="S51" s="4"/>
      <c r="T51" s="4"/>
      <c r="U51" s="4"/>
      <c r="V51" s="4"/>
      <c r="W51" s="4"/>
      <c r="X51" s="4"/>
      <c r="Y51" s="4"/>
      <c r="Z51" s="4"/>
      <c r="AA51" s="4"/>
      <c r="AB51" s="4"/>
      <c r="AC51" s="4"/>
      <c r="AD51" s="4"/>
      <c r="AE51" s="4"/>
      <c r="AF51" s="4"/>
      <c r="AG51" s="4"/>
      <c r="AH51" s="4"/>
      <c r="AI51" s="4"/>
      <c r="AJ51" s="4"/>
      <c r="AK51" s="4"/>
      <c r="AL51" s="4"/>
      <c r="AM51" s="4"/>
    </row>
    <row r="52" spans="1:39" x14ac:dyDescent="0.2">
      <c r="A52" s="4"/>
      <c r="R52" s="4"/>
      <c r="S52" s="4"/>
      <c r="T52" s="4"/>
      <c r="U52" s="4"/>
      <c r="V52" s="4"/>
      <c r="W52" s="4"/>
      <c r="X52" s="4"/>
      <c r="Y52" s="4"/>
      <c r="Z52" s="4"/>
      <c r="AA52" s="4"/>
      <c r="AB52" s="4"/>
      <c r="AC52" s="4"/>
      <c r="AD52" s="4"/>
      <c r="AE52" s="4"/>
      <c r="AF52" s="4"/>
      <c r="AG52" s="4"/>
      <c r="AH52" s="4"/>
      <c r="AI52" s="4"/>
      <c r="AJ52" s="4"/>
      <c r="AK52" s="4"/>
      <c r="AL52" s="4"/>
      <c r="AM52" s="4"/>
    </row>
    <row r="53" spans="1:39" x14ac:dyDescent="0.2">
      <c r="A53" s="4"/>
      <c r="R53" s="4"/>
      <c r="S53" s="4"/>
      <c r="T53" s="4"/>
      <c r="U53" s="4"/>
      <c r="V53" s="4"/>
      <c r="W53" s="4"/>
      <c r="X53" s="4"/>
      <c r="Y53" s="4"/>
      <c r="Z53" s="4"/>
      <c r="AA53" s="4"/>
      <c r="AB53" s="4"/>
      <c r="AC53" s="4"/>
      <c r="AD53" s="4"/>
      <c r="AE53" s="4"/>
      <c r="AF53" s="4"/>
      <c r="AG53" s="4"/>
      <c r="AH53" s="4"/>
      <c r="AI53" s="4"/>
      <c r="AJ53" s="4"/>
      <c r="AK53" s="4"/>
      <c r="AL53" s="4"/>
      <c r="AM53" s="4"/>
    </row>
    <row r="54" spans="1:39" x14ac:dyDescent="0.2">
      <c r="A54" s="4"/>
      <c r="R54" s="4"/>
      <c r="S54" s="4"/>
      <c r="T54" s="4"/>
      <c r="U54" s="4"/>
      <c r="V54" s="4"/>
      <c r="W54" s="4"/>
      <c r="X54" s="4"/>
      <c r="Y54" s="4"/>
      <c r="Z54" s="4"/>
      <c r="AA54" s="4"/>
      <c r="AB54" s="4"/>
      <c r="AC54" s="4"/>
      <c r="AD54" s="4"/>
      <c r="AE54" s="4"/>
      <c r="AF54" s="4"/>
      <c r="AG54" s="4"/>
      <c r="AH54" s="4"/>
      <c r="AI54" s="4"/>
      <c r="AJ54" s="4"/>
      <c r="AK54" s="4"/>
      <c r="AL54" s="4"/>
      <c r="AM54" s="4"/>
    </row>
    <row r="55" spans="1:39" x14ac:dyDescent="0.2">
      <c r="A55" s="4"/>
      <c r="R55" s="4"/>
      <c r="S55" s="4"/>
      <c r="T55" s="4"/>
      <c r="U55" s="4"/>
      <c r="V55" s="4"/>
      <c r="W55" s="4"/>
      <c r="X55" s="4"/>
      <c r="Y55" s="4"/>
      <c r="Z55" s="4"/>
      <c r="AA55" s="4"/>
      <c r="AB55" s="4"/>
      <c r="AC55" s="4"/>
      <c r="AD55" s="4"/>
      <c r="AE55" s="4"/>
      <c r="AF55" s="4"/>
      <c r="AG55" s="4"/>
      <c r="AH55" s="4"/>
      <c r="AI55" s="4"/>
      <c r="AJ55" s="4"/>
      <c r="AK55" s="4"/>
      <c r="AL55" s="4"/>
      <c r="AM55" s="4"/>
    </row>
    <row r="56" spans="1:39" x14ac:dyDescent="0.2">
      <c r="A56" s="4"/>
      <c r="R56" s="4"/>
      <c r="S56" s="4"/>
      <c r="T56" s="4"/>
      <c r="U56" s="4"/>
      <c r="V56" s="4"/>
      <c r="W56" s="4"/>
      <c r="X56" s="4"/>
      <c r="Y56" s="4"/>
      <c r="Z56" s="4"/>
      <c r="AA56" s="4"/>
      <c r="AB56" s="4"/>
      <c r="AC56" s="4"/>
      <c r="AD56" s="4"/>
      <c r="AE56" s="4"/>
      <c r="AF56" s="4"/>
      <c r="AG56" s="4"/>
      <c r="AH56" s="4"/>
      <c r="AI56" s="4"/>
      <c r="AJ56" s="4"/>
      <c r="AK56" s="4"/>
      <c r="AL56" s="4"/>
      <c r="AM56" s="4"/>
    </row>
    <row r="57" spans="1:39" x14ac:dyDescent="0.2">
      <c r="A57" s="4"/>
      <c r="R57" s="4"/>
      <c r="S57" s="4"/>
      <c r="T57" s="4"/>
      <c r="U57" s="4"/>
      <c r="V57" s="4"/>
      <c r="W57" s="4"/>
      <c r="X57" s="4"/>
      <c r="Y57" s="4"/>
      <c r="Z57" s="4"/>
      <c r="AA57" s="4"/>
      <c r="AB57" s="4"/>
      <c r="AC57" s="4"/>
      <c r="AD57" s="4"/>
      <c r="AE57" s="4"/>
      <c r="AF57" s="4"/>
      <c r="AG57" s="4"/>
      <c r="AH57" s="4"/>
      <c r="AI57" s="4"/>
      <c r="AJ57" s="4"/>
      <c r="AK57" s="4"/>
      <c r="AL57" s="4"/>
      <c r="AM57" s="4"/>
    </row>
    <row r="58" spans="1:39" x14ac:dyDescent="0.2">
      <c r="A58" s="4"/>
      <c r="R58" s="4"/>
      <c r="S58" s="4"/>
      <c r="T58" s="4"/>
      <c r="U58" s="4"/>
      <c r="V58" s="4"/>
      <c r="W58" s="4"/>
      <c r="X58" s="4"/>
      <c r="Y58" s="4"/>
      <c r="Z58" s="4"/>
      <c r="AA58" s="4"/>
      <c r="AB58" s="4"/>
      <c r="AC58" s="4"/>
      <c r="AD58" s="4"/>
      <c r="AE58" s="4"/>
      <c r="AF58" s="4"/>
      <c r="AG58" s="4"/>
      <c r="AH58" s="4"/>
      <c r="AI58" s="4"/>
      <c r="AJ58" s="4"/>
      <c r="AK58" s="4"/>
      <c r="AL58" s="4"/>
      <c r="AM58" s="4"/>
    </row>
    <row r="59" spans="1:39" x14ac:dyDescent="0.2">
      <c r="A59" s="4"/>
      <c r="R59" s="4"/>
      <c r="S59" s="4"/>
      <c r="T59" s="4"/>
      <c r="U59" s="4"/>
      <c r="V59" s="4"/>
      <c r="W59" s="4"/>
      <c r="X59" s="4"/>
      <c r="Y59" s="4"/>
      <c r="Z59" s="4"/>
      <c r="AA59" s="4"/>
      <c r="AB59" s="4"/>
      <c r="AC59" s="4"/>
      <c r="AD59" s="4"/>
      <c r="AE59" s="4"/>
      <c r="AF59" s="4"/>
      <c r="AG59" s="4"/>
      <c r="AH59" s="4"/>
      <c r="AI59" s="4"/>
      <c r="AJ59" s="4"/>
      <c r="AK59" s="4"/>
      <c r="AL59" s="4"/>
      <c r="AM59" s="4"/>
    </row>
    <row r="60" spans="1:39" x14ac:dyDescent="0.2">
      <c r="A60" s="4"/>
      <c r="R60" s="4"/>
      <c r="S60" s="4"/>
      <c r="T60" s="4"/>
      <c r="U60" s="4"/>
      <c r="V60" s="4"/>
      <c r="W60" s="4"/>
      <c r="X60" s="4"/>
      <c r="Y60" s="4"/>
      <c r="Z60" s="4"/>
      <c r="AA60" s="4"/>
      <c r="AB60" s="4"/>
      <c r="AC60" s="4"/>
      <c r="AD60" s="4"/>
      <c r="AE60" s="4"/>
      <c r="AF60" s="4"/>
      <c r="AG60" s="4"/>
      <c r="AH60" s="4"/>
      <c r="AI60" s="4"/>
      <c r="AJ60" s="4"/>
      <c r="AK60" s="4"/>
      <c r="AL60" s="4"/>
      <c r="AM60" s="4"/>
    </row>
    <row r="61" spans="1:39" x14ac:dyDescent="0.2">
      <c r="A61" s="4"/>
      <c r="R61" s="4"/>
      <c r="S61" s="4"/>
      <c r="T61" s="4"/>
      <c r="U61" s="4"/>
      <c r="V61" s="4"/>
      <c r="W61" s="4"/>
      <c r="X61" s="4"/>
      <c r="Y61" s="4"/>
      <c r="Z61" s="4"/>
      <c r="AA61" s="4"/>
      <c r="AB61" s="4"/>
      <c r="AC61" s="4"/>
      <c r="AD61" s="4"/>
      <c r="AE61" s="4"/>
      <c r="AF61" s="4"/>
      <c r="AG61" s="4"/>
      <c r="AH61" s="4"/>
      <c r="AI61" s="4"/>
      <c r="AJ61" s="4"/>
      <c r="AK61" s="4"/>
      <c r="AL61" s="4"/>
      <c r="AM61" s="4"/>
    </row>
    <row r="62" spans="1:39" x14ac:dyDescent="0.2">
      <c r="A62" s="4"/>
      <c r="R62" s="4"/>
      <c r="S62" s="4"/>
      <c r="T62" s="4"/>
      <c r="U62" s="4"/>
      <c r="V62" s="4"/>
      <c r="W62" s="4"/>
      <c r="X62" s="4"/>
      <c r="Y62" s="4"/>
      <c r="Z62" s="4"/>
      <c r="AA62" s="4"/>
      <c r="AB62" s="4"/>
      <c r="AC62" s="4"/>
      <c r="AD62" s="4"/>
      <c r="AE62" s="4"/>
      <c r="AF62" s="4"/>
      <c r="AG62" s="4"/>
      <c r="AH62" s="4"/>
      <c r="AI62" s="4"/>
      <c r="AJ62" s="4"/>
      <c r="AK62" s="4"/>
      <c r="AL62" s="4"/>
      <c r="AM62" s="4"/>
    </row>
    <row r="63" spans="1:39" x14ac:dyDescent="0.2">
      <c r="A63" s="4"/>
      <c r="R63" s="4"/>
      <c r="S63" s="4"/>
      <c r="T63" s="4"/>
      <c r="U63" s="4"/>
      <c r="V63" s="4"/>
      <c r="W63" s="4"/>
      <c r="X63" s="4"/>
      <c r="Y63" s="4"/>
      <c r="Z63" s="4"/>
      <c r="AA63" s="4"/>
      <c r="AB63" s="4"/>
      <c r="AC63" s="4"/>
      <c r="AD63" s="4"/>
      <c r="AE63" s="4"/>
      <c r="AF63" s="4"/>
      <c r="AG63" s="4"/>
      <c r="AH63" s="4"/>
      <c r="AI63" s="4"/>
      <c r="AJ63" s="4"/>
      <c r="AK63" s="4"/>
      <c r="AL63" s="4"/>
      <c r="AM63" s="4"/>
    </row>
    <row r="64" spans="1:39" x14ac:dyDescent="0.2">
      <c r="A64" s="4"/>
      <c r="R64" s="4"/>
      <c r="S64" s="4"/>
      <c r="T64" s="4"/>
      <c r="U64" s="4"/>
      <c r="V64" s="4"/>
      <c r="W64" s="4"/>
      <c r="X64" s="4"/>
      <c r="Y64" s="4"/>
      <c r="Z64" s="4"/>
      <c r="AA64" s="4"/>
      <c r="AB64" s="4"/>
      <c r="AC64" s="4"/>
      <c r="AD64" s="4"/>
      <c r="AE64" s="4"/>
      <c r="AF64" s="4"/>
      <c r="AG64" s="4"/>
      <c r="AH64" s="4"/>
      <c r="AI64" s="4"/>
      <c r="AJ64" s="4"/>
      <c r="AK64" s="4"/>
      <c r="AL64" s="4"/>
      <c r="AM64" s="4"/>
    </row>
    <row r="65" spans="1:39" x14ac:dyDescent="0.2">
      <c r="A65" s="4"/>
      <c r="R65" s="4"/>
      <c r="S65" s="4"/>
      <c r="T65" s="4"/>
      <c r="U65" s="4"/>
      <c r="V65" s="4"/>
      <c r="W65" s="4"/>
      <c r="X65" s="4"/>
      <c r="Y65" s="4"/>
      <c r="Z65" s="4"/>
      <c r="AA65" s="4"/>
      <c r="AB65" s="4"/>
      <c r="AC65" s="4"/>
      <c r="AD65" s="4"/>
      <c r="AE65" s="4"/>
      <c r="AF65" s="4"/>
      <c r="AG65" s="4"/>
      <c r="AH65" s="4"/>
      <c r="AI65" s="4"/>
      <c r="AJ65" s="4"/>
      <c r="AK65" s="4"/>
      <c r="AL65" s="4"/>
      <c r="AM65" s="4"/>
    </row>
    <row r="66" spans="1:39" x14ac:dyDescent="0.2">
      <c r="A66" s="4"/>
      <c r="R66" s="4"/>
      <c r="S66" s="4"/>
      <c r="T66" s="4"/>
      <c r="U66" s="4"/>
      <c r="V66" s="4"/>
      <c r="W66" s="4"/>
      <c r="X66" s="4"/>
      <c r="Y66" s="4"/>
      <c r="Z66" s="4"/>
      <c r="AA66" s="4"/>
      <c r="AB66" s="4"/>
      <c r="AC66" s="4"/>
      <c r="AD66" s="4"/>
      <c r="AE66" s="4"/>
      <c r="AF66" s="4"/>
      <c r="AG66" s="4"/>
      <c r="AH66" s="4"/>
      <c r="AI66" s="4"/>
      <c r="AJ66" s="4"/>
      <c r="AK66" s="4"/>
      <c r="AL66" s="4"/>
      <c r="AM66" s="4"/>
    </row>
    <row r="67" spans="1:39" x14ac:dyDescent="0.2">
      <c r="A67" s="4"/>
      <c r="R67" s="4"/>
      <c r="S67" s="4"/>
      <c r="T67" s="4"/>
      <c r="U67" s="4"/>
      <c r="V67" s="4"/>
      <c r="W67" s="4"/>
      <c r="X67" s="4"/>
      <c r="Y67" s="4"/>
      <c r="Z67" s="4"/>
      <c r="AA67" s="4"/>
      <c r="AB67" s="4"/>
      <c r="AC67" s="4"/>
      <c r="AD67" s="4"/>
      <c r="AE67" s="4"/>
      <c r="AF67" s="4"/>
      <c r="AG67" s="4"/>
      <c r="AH67" s="4"/>
      <c r="AI67" s="4"/>
      <c r="AJ67" s="4"/>
      <c r="AK67" s="4"/>
      <c r="AL67" s="4"/>
      <c r="AM67" s="4"/>
    </row>
    <row r="68" spans="1:39" x14ac:dyDescent="0.2">
      <c r="A68" s="4"/>
      <c r="R68" s="4"/>
      <c r="S68" s="4"/>
      <c r="T68" s="4"/>
      <c r="U68" s="4"/>
      <c r="V68" s="4"/>
      <c r="W68" s="4"/>
      <c r="X68" s="4"/>
      <c r="Y68" s="4"/>
      <c r="Z68" s="4"/>
      <c r="AA68" s="4"/>
      <c r="AB68" s="4"/>
      <c r="AC68" s="4"/>
      <c r="AD68" s="4"/>
      <c r="AE68" s="4"/>
      <c r="AF68" s="4"/>
      <c r="AG68" s="4"/>
      <c r="AH68" s="4"/>
      <c r="AI68" s="4"/>
      <c r="AJ68" s="4"/>
      <c r="AK68" s="4"/>
      <c r="AL68" s="4"/>
      <c r="AM68" s="4"/>
    </row>
    <row r="69" spans="1:39" x14ac:dyDescent="0.2">
      <c r="A69" s="4"/>
      <c r="R69" s="4"/>
      <c r="S69" s="4"/>
      <c r="T69" s="4"/>
      <c r="U69" s="4"/>
      <c r="V69" s="4"/>
      <c r="W69" s="4"/>
      <c r="X69" s="4"/>
      <c r="Y69" s="4"/>
      <c r="Z69" s="4"/>
      <c r="AA69" s="4"/>
      <c r="AB69" s="4"/>
      <c r="AC69" s="4"/>
      <c r="AD69" s="4"/>
      <c r="AE69" s="4"/>
      <c r="AF69" s="4"/>
      <c r="AG69" s="4"/>
      <c r="AH69" s="4"/>
      <c r="AI69" s="4"/>
      <c r="AJ69" s="4"/>
      <c r="AK69" s="4"/>
      <c r="AL69" s="4"/>
      <c r="AM69" s="4"/>
    </row>
    <row r="70" spans="1:39" x14ac:dyDescent="0.2">
      <c r="A70" s="4"/>
      <c r="R70" s="4"/>
      <c r="S70" s="4"/>
      <c r="T70" s="4"/>
      <c r="U70" s="4"/>
      <c r="V70" s="4"/>
      <c r="W70" s="4"/>
      <c r="X70" s="4"/>
      <c r="Y70" s="4"/>
      <c r="Z70" s="4"/>
      <c r="AA70" s="4"/>
      <c r="AB70" s="4"/>
      <c r="AC70" s="4"/>
      <c r="AD70" s="4"/>
      <c r="AE70" s="4"/>
      <c r="AF70" s="4"/>
      <c r="AG70" s="4"/>
      <c r="AH70" s="4"/>
      <c r="AI70" s="4"/>
      <c r="AJ70" s="4"/>
      <c r="AK70" s="4"/>
      <c r="AL70" s="4"/>
      <c r="AM70" s="4"/>
    </row>
    <row r="71" spans="1:39" x14ac:dyDescent="0.2">
      <c r="A71" s="4"/>
      <c r="R71" s="4"/>
      <c r="S71" s="4"/>
      <c r="T71" s="4"/>
      <c r="U71" s="4"/>
      <c r="V71" s="4"/>
      <c r="W71" s="4"/>
      <c r="X71" s="4"/>
      <c r="Y71" s="4"/>
      <c r="Z71" s="4"/>
      <c r="AA71" s="4"/>
      <c r="AB71" s="4"/>
      <c r="AC71" s="4"/>
      <c r="AD71" s="4"/>
      <c r="AE71" s="4"/>
      <c r="AF71" s="4"/>
      <c r="AG71" s="4"/>
      <c r="AH71" s="4"/>
      <c r="AI71" s="4"/>
      <c r="AJ71" s="4"/>
      <c r="AK71" s="4"/>
      <c r="AL71" s="4"/>
      <c r="AM71" s="4"/>
    </row>
    <row r="72" spans="1:39" x14ac:dyDescent="0.2">
      <c r="A72" s="4"/>
      <c r="R72" s="4"/>
      <c r="S72" s="4"/>
      <c r="T72" s="4"/>
      <c r="U72" s="4"/>
      <c r="V72" s="4"/>
      <c r="W72" s="4"/>
      <c r="X72" s="4"/>
      <c r="Y72" s="4"/>
      <c r="Z72" s="4"/>
      <c r="AA72" s="4"/>
      <c r="AB72" s="4"/>
      <c r="AC72" s="4"/>
      <c r="AD72" s="4"/>
      <c r="AE72" s="4"/>
      <c r="AF72" s="4"/>
      <c r="AG72" s="4"/>
      <c r="AH72" s="4"/>
      <c r="AI72" s="4"/>
      <c r="AJ72" s="4"/>
      <c r="AK72" s="4"/>
      <c r="AL72" s="4"/>
      <c r="AM72" s="4"/>
    </row>
    <row r="73" spans="1:39" x14ac:dyDescent="0.2">
      <c r="A73" s="4"/>
      <c r="R73" s="4"/>
      <c r="S73" s="4"/>
      <c r="T73" s="4"/>
      <c r="U73" s="4"/>
      <c r="V73" s="4"/>
      <c r="W73" s="4"/>
      <c r="X73" s="4"/>
      <c r="Y73" s="4"/>
      <c r="Z73" s="4"/>
      <c r="AA73" s="4"/>
      <c r="AB73" s="4"/>
      <c r="AC73" s="4"/>
      <c r="AD73" s="4"/>
      <c r="AE73" s="4"/>
      <c r="AF73" s="4"/>
      <c r="AG73" s="4"/>
      <c r="AH73" s="4"/>
      <c r="AI73" s="4"/>
      <c r="AJ73" s="4"/>
      <c r="AK73" s="4"/>
      <c r="AL73" s="4"/>
      <c r="AM73" s="4"/>
    </row>
    <row r="74" spans="1:39" x14ac:dyDescent="0.2">
      <c r="A74" s="4"/>
      <c r="R74" s="4"/>
      <c r="S74" s="4"/>
      <c r="T74" s="4"/>
      <c r="U74" s="4"/>
      <c r="V74" s="4"/>
      <c r="W74" s="4"/>
      <c r="X74" s="4"/>
      <c r="Y74" s="4"/>
      <c r="Z74" s="4"/>
      <c r="AA74" s="4"/>
      <c r="AB74" s="4"/>
      <c r="AC74" s="4"/>
      <c r="AD74" s="4"/>
      <c r="AE74" s="4"/>
      <c r="AF74" s="4"/>
      <c r="AG74" s="4"/>
      <c r="AH74" s="4"/>
      <c r="AI74" s="4"/>
      <c r="AJ74" s="4"/>
      <c r="AK74" s="4"/>
      <c r="AL74" s="4"/>
      <c r="AM74" s="4"/>
    </row>
    <row r="75" spans="1:39" x14ac:dyDescent="0.2">
      <c r="A75" s="4"/>
      <c r="R75" s="4"/>
      <c r="S75" s="4"/>
      <c r="T75" s="4"/>
      <c r="U75" s="4"/>
      <c r="V75" s="4"/>
      <c r="W75" s="4"/>
      <c r="X75" s="4"/>
      <c r="Y75" s="4"/>
      <c r="Z75" s="4"/>
      <c r="AA75" s="4"/>
      <c r="AB75" s="4"/>
      <c r="AC75" s="4"/>
      <c r="AD75" s="4"/>
      <c r="AE75" s="4"/>
      <c r="AF75" s="4"/>
      <c r="AG75" s="4"/>
      <c r="AH75" s="4"/>
      <c r="AI75" s="4"/>
      <c r="AJ75" s="4"/>
      <c r="AK75" s="4"/>
      <c r="AL75" s="4"/>
      <c r="AM75" s="4"/>
    </row>
    <row r="76" spans="1:39" x14ac:dyDescent="0.2">
      <c r="A76" s="4"/>
      <c r="R76" s="4"/>
      <c r="S76" s="4"/>
      <c r="T76" s="4"/>
      <c r="U76" s="4"/>
      <c r="V76" s="4"/>
      <c r="W76" s="4"/>
      <c r="X76" s="4"/>
      <c r="Y76" s="4"/>
      <c r="Z76" s="4"/>
      <c r="AA76" s="4"/>
      <c r="AB76" s="4"/>
      <c r="AC76" s="4"/>
      <c r="AD76" s="4"/>
      <c r="AE76" s="4"/>
      <c r="AF76" s="4"/>
      <c r="AG76" s="4"/>
      <c r="AH76" s="4"/>
      <c r="AI76" s="4"/>
      <c r="AJ76" s="4"/>
      <c r="AK76" s="4"/>
      <c r="AL76" s="4"/>
      <c r="AM76" s="4"/>
    </row>
    <row r="77" spans="1:39" x14ac:dyDescent="0.2">
      <c r="A77" s="4"/>
      <c r="R77" s="4"/>
      <c r="S77" s="4"/>
      <c r="T77" s="4"/>
      <c r="U77" s="4"/>
      <c r="V77" s="4"/>
      <c r="W77" s="4"/>
      <c r="X77" s="4"/>
      <c r="Y77" s="4"/>
      <c r="Z77" s="4"/>
      <c r="AA77" s="4"/>
      <c r="AB77" s="4"/>
      <c r="AC77" s="4"/>
      <c r="AD77" s="4"/>
      <c r="AE77" s="4"/>
      <c r="AF77" s="4"/>
      <c r="AG77" s="4"/>
      <c r="AH77" s="4"/>
      <c r="AI77" s="4"/>
      <c r="AJ77" s="4"/>
      <c r="AK77" s="4"/>
      <c r="AL77" s="4"/>
      <c r="AM77" s="4"/>
    </row>
    <row r="78" spans="1:39" x14ac:dyDescent="0.2">
      <c r="A78" s="4"/>
      <c r="R78" s="4"/>
      <c r="S78" s="4"/>
      <c r="T78" s="4"/>
      <c r="U78" s="4"/>
      <c r="V78" s="4"/>
      <c r="W78" s="4"/>
      <c r="X78" s="4"/>
      <c r="Y78" s="4"/>
      <c r="Z78" s="4"/>
      <c r="AA78" s="4"/>
      <c r="AB78" s="4"/>
      <c r="AC78" s="4"/>
      <c r="AD78" s="4"/>
      <c r="AE78" s="4"/>
      <c r="AF78" s="4"/>
      <c r="AG78" s="4"/>
      <c r="AH78" s="4"/>
      <c r="AI78" s="4"/>
      <c r="AJ78" s="4"/>
      <c r="AK78" s="4"/>
      <c r="AL78" s="4"/>
      <c r="AM78" s="4"/>
    </row>
    <row r="79" spans="1:39" x14ac:dyDescent="0.2">
      <c r="A79" s="4"/>
      <c r="R79" s="4"/>
      <c r="S79" s="4"/>
      <c r="T79" s="4"/>
      <c r="U79" s="4"/>
      <c r="V79" s="4"/>
      <c r="W79" s="4"/>
      <c r="X79" s="4"/>
      <c r="Y79" s="4"/>
      <c r="Z79" s="4"/>
      <c r="AA79" s="4"/>
      <c r="AB79" s="4"/>
      <c r="AC79" s="4"/>
      <c r="AD79" s="4"/>
      <c r="AE79" s="4"/>
      <c r="AF79" s="4"/>
      <c r="AG79" s="4"/>
      <c r="AH79" s="4"/>
      <c r="AI79" s="4"/>
      <c r="AJ79" s="4"/>
      <c r="AK79" s="4"/>
      <c r="AL79" s="4"/>
      <c r="AM79" s="4"/>
    </row>
    <row r="80" spans="1:39" x14ac:dyDescent="0.2">
      <c r="A80" s="4"/>
      <c r="R80" s="4"/>
      <c r="S80" s="4"/>
      <c r="T80" s="4"/>
      <c r="U80" s="4"/>
      <c r="V80" s="4"/>
      <c r="W80" s="4"/>
      <c r="X80" s="4"/>
      <c r="Y80" s="4"/>
      <c r="Z80" s="4"/>
      <c r="AA80" s="4"/>
      <c r="AB80" s="4"/>
      <c r="AC80" s="4"/>
      <c r="AD80" s="4"/>
      <c r="AE80" s="4"/>
      <c r="AF80" s="4"/>
      <c r="AG80" s="4"/>
      <c r="AH80" s="4"/>
      <c r="AI80" s="4"/>
      <c r="AJ80" s="4"/>
      <c r="AK80" s="4"/>
      <c r="AL80" s="4"/>
      <c r="AM80" s="4"/>
    </row>
    <row r="81" spans="1:39" x14ac:dyDescent="0.2">
      <c r="A81" s="4"/>
      <c r="R81" s="4"/>
      <c r="S81" s="4"/>
      <c r="T81" s="4"/>
      <c r="U81" s="4"/>
      <c r="V81" s="4"/>
      <c r="W81" s="4"/>
      <c r="X81" s="4"/>
      <c r="Y81" s="4"/>
      <c r="Z81" s="4"/>
      <c r="AA81" s="4"/>
      <c r="AB81" s="4"/>
      <c r="AC81" s="4"/>
      <c r="AD81" s="4"/>
      <c r="AE81" s="4"/>
      <c r="AF81" s="4"/>
      <c r="AG81" s="4"/>
      <c r="AH81" s="4"/>
      <c r="AI81" s="4"/>
      <c r="AJ81" s="4"/>
      <c r="AK81" s="4"/>
      <c r="AL81" s="4"/>
      <c r="AM81" s="4"/>
    </row>
    <row r="82" spans="1:39" x14ac:dyDescent="0.2">
      <c r="A82" s="4"/>
      <c r="R82" s="4"/>
      <c r="S82" s="4"/>
      <c r="T82" s="4"/>
      <c r="U82" s="4"/>
      <c r="V82" s="4"/>
      <c r="W82" s="4"/>
      <c r="X82" s="4"/>
      <c r="Y82" s="4"/>
      <c r="Z82" s="4"/>
      <c r="AA82" s="4"/>
      <c r="AB82" s="4"/>
      <c r="AC82" s="4"/>
      <c r="AD82" s="4"/>
      <c r="AE82" s="4"/>
      <c r="AF82" s="4"/>
      <c r="AG82" s="4"/>
      <c r="AH82" s="4"/>
      <c r="AI82" s="4"/>
      <c r="AJ82" s="4"/>
      <c r="AK82" s="4"/>
      <c r="AL82" s="4"/>
      <c r="AM82" s="4"/>
    </row>
    <row r="83" spans="1:39" x14ac:dyDescent="0.2">
      <c r="A83" s="4"/>
      <c r="R83" s="4"/>
      <c r="S83" s="4"/>
      <c r="T83" s="4"/>
      <c r="U83" s="4"/>
      <c r="V83" s="4"/>
      <c r="W83" s="4"/>
      <c r="X83" s="4"/>
      <c r="Y83" s="4"/>
      <c r="Z83" s="4"/>
      <c r="AA83" s="4"/>
      <c r="AB83" s="4"/>
      <c r="AC83" s="4"/>
      <c r="AD83" s="4"/>
      <c r="AE83" s="4"/>
      <c r="AF83" s="4"/>
      <c r="AG83" s="4"/>
      <c r="AH83" s="4"/>
      <c r="AI83" s="4"/>
      <c r="AJ83" s="4"/>
      <c r="AK83" s="4"/>
      <c r="AL83" s="4"/>
      <c r="AM83" s="4"/>
    </row>
    <row r="84" spans="1:39" x14ac:dyDescent="0.2">
      <c r="A84" s="4"/>
      <c r="R84" s="4"/>
      <c r="S84" s="4"/>
      <c r="T84" s="4"/>
      <c r="U84" s="4"/>
      <c r="V84" s="4"/>
      <c r="W84" s="4"/>
      <c r="X84" s="4"/>
      <c r="Y84" s="4"/>
      <c r="Z84" s="4"/>
      <c r="AA84" s="4"/>
      <c r="AB84" s="4"/>
      <c r="AC84" s="4"/>
      <c r="AD84" s="4"/>
      <c r="AE84" s="4"/>
      <c r="AF84" s="4"/>
      <c r="AG84" s="4"/>
      <c r="AH84" s="4"/>
      <c r="AI84" s="4"/>
      <c r="AJ84" s="4"/>
      <c r="AK84" s="4"/>
      <c r="AL84" s="4"/>
      <c r="AM84" s="4"/>
    </row>
    <row r="85" spans="1:39" x14ac:dyDescent="0.2">
      <c r="A85" s="4"/>
      <c r="R85" s="4"/>
      <c r="S85" s="4"/>
      <c r="T85" s="4"/>
      <c r="U85" s="4"/>
      <c r="V85" s="4"/>
      <c r="W85" s="4"/>
      <c r="X85" s="4"/>
      <c r="Y85" s="4"/>
      <c r="Z85" s="4"/>
      <c r="AA85" s="4"/>
      <c r="AB85" s="4"/>
      <c r="AC85" s="4"/>
      <c r="AD85" s="4"/>
      <c r="AE85" s="4"/>
      <c r="AF85" s="4"/>
      <c r="AG85" s="4"/>
      <c r="AH85" s="4"/>
      <c r="AI85" s="4"/>
      <c r="AJ85" s="4"/>
      <c r="AK85" s="4"/>
      <c r="AL85" s="4"/>
      <c r="AM85" s="4"/>
    </row>
    <row r="86" spans="1:39" x14ac:dyDescent="0.2">
      <c r="A86" s="4"/>
      <c r="R86" s="4"/>
      <c r="S86" s="4"/>
      <c r="T86" s="4"/>
      <c r="U86" s="4"/>
      <c r="V86" s="4"/>
      <c r="W86" s="4"/>
      <c r="X86" s="4"/>
      <c r="Y86" s="4"/>
      <c r="Z86" s="4"/>
      <c r="AA86" s="4"/>
      <c r="AB86" s="4"/>
      <c r="AC86" s="4"/>
      <c r="AD86" s="4"/>
      <c r="AE86" s="4"/>
      <c r="AF86" s="4"/>
      <c r="AG86" s="4"/>
      <c r="AH86" s="4"/>
      <c r="AI86" s="4"/>
      <c r="AJ86" s="4"/>
      <c r="AK86" s="4"/>
      <c r="AL86" s="4"/>
      <c r="AM86" s="4"/>
    </row>
    <row r="87" spans="1:39" x14ac:dyDescent="0.2">
      <c r="A87" s="4"/>
      <c r="R87" s="4"/>
      <c r="S87" s="4"/>
      <c r="T87" s="4"/>
      <c r="U87" s="4"/>
      <c r="V87" s="4"/>
      <c r="W87" s="4"/>
      <c r="X87" s="4"/>
      <c r="Y87" s="4"/>
      <c r="Z87" s="4"/>
      <c r="AA87" s="4"/>
      <c r="AB87" s="4"/>
      <c r="AC87" s="4"/>
      <c r="AD87" s="4"/>
      <c r="AE87" s="4"/>
      <c r="AF87" s="4"/>
      <c r="AG87" s="4"/>
      <c r="AH87" s="4"/>
      <c r="AI87" s="4"/>
      <c r="AJ87" s="4"/>
      <c r="AK87" s="4"/>
      <c r="AL87" s="4"/>
      <c r="AM87" s="4"/>
    </row>
    <row r="88" spans="1:39" x14ac:dyDescent="0.2">
      <c r="A88" s="4"/>
      <c r="R88" s="4"/>
      <c r="S88" s="4"/>
      <c r="T88" s="4"/>
      <c r="U88" s="4"/>
      <c r="V88" s="4"/>
      <c r="W88" s="4"/>
      <c r="X88" s="4"/>
      <c r="Y88" s="4"/>
      <c r="Z88" s="4"/>
      <c r="AA88" s="4"/>
      <c r="AB88" s="4"/>
      <c r="AC88" s="4"/>
      <c r="AD88" s="4"/>
      <c r="AE88" s="4"/>
      <c r="AF88" s="4"/>
      <c r="AG88" s="4"/>
      <c r="AH88" s="4"/>
      <c r="AI88" s="4"/>
      <c r="AJ88" s="4"/>
      <c r="AK88" s="4"/>
      <c r="AL88" s="4"/>
      <c r="AM88" s="4"/>
    </row>
    <row r="89" spans="1:39" x14ac:dyDescent="0.2">
      <c r="A89" s="4"/>
      <c r="R89" s="4"/>
      <c r="S89" s="4"/>
      <c r="T89" s="4"/>
      <c r="U89" s="4"/>
      <c r="V89" s="4"/>
      <c r="W89" s="4"/>
      <c r="X89" s="4"/>
      <c r="Y89" s="4"/>
      <c r="Z89" s="4"/>
      <c r="AA89" s="4"/>
      <c r="AB89" s="4"/>
      <c r="AC89" s="4"/>
      <c r="AD89" s="4"/>
      <c r="AE89" s="4"/>
      <c r="AF89" s="4"/>
      <c r="AG89" s="4"/>
      <c r="AH89" s="4"/>
      <c r="AI89" s="4"/>
      <c r="AJ89" s="4"/>
      <c r="AK89" s="4"/>
      <c r="AL89" s="4"/>
      <c r="AM89" s="4"/>
    </row>
    <row r="90" spans="1:39" x14ac:dyDescent="0.2">
      <c r="A90" s="4"/>
      <c r="R90" s="4"/>
      <c r="S90" s="4"/>
      <c r="T90" s="4"/>
      <c r="U90" s="4"/>
      <c r="V90" s="4"/>
      <c r="W90" s="4"/>
      <c r="X90" s="4"/>
      <c r="Y90" s="4"/>
      <c r="Z90" s="4"/>
      <c r="AA90" s="4"/>
      <c r="AB90" s="4"/>
      <c r="AC90" s="4"/>
      <c r="AD90" s="4"/>
      <c r="AE90" s="4"/>
      <c r="AF90" s="4"/>
      <c r="AG90" s="4"/>
      <c r="AH90" s="4"/>
      <c r="AI90" s="4"/>
      <c r="AJ90" s="4"/>
      <c r="AK90" s="4"/>
      <c r="AL90" s="4"/>
      <c r="AM90" s="4"/>
    </row>
    <row r="91" spans="1:39" x14ac:dyDescent="0.2">
      <c r="A91" s="4"/>
      <c r="R91" s="4"/>
      <c r="S91" s="4"/>
      <c r="T91" s="4"/>
      <c r="U91" s="4"/>
      <c r="V91" s="4"/>
      <c r="W91" s="4"/>
      <c r="X91" s="4"/>
      <c r="Y91" s="4"/>
      <c r="Z91" s="4"/>
      <c r="AA91" s="4"/>
      <c r="AB91" s="4"/>
      <c r="AC91" s="4"/>
      <c r="AD91" s="4"/>
      <c r="AE91" s="4"/>
      <c r="AF91" s="4"/>
      <c r="AG91" s="4"/>
      <c r="AH91" s="4"/>
      <c r="AI91" s="4"/>
      <c r="AJ91" s="4"/>
      <c r="AK91" s="4"/>
      <c r="AL91" s="4"/>
      <c r="AM91" s="4"/>
    </row>
    <row r="92" spans="1:39" x14ac:dyDescent="0.2">
      <c r="A92" s="4"/>
      <c r="R92" s="4"/>
      <c r="S92" s="4"/>
      <c r="T92" s="4"/>
      <c r="U92" s="4"/>
      <c r="V92" s="4"/>
      <c r="W92" s="4"/>
      <c r="X92" s="4"/>
      <c r="Y92" s="4"/>
      <c r="Z92" s="4"/>
      <c r="AA92" s="4"/>
      <c r="AB92" s="4"/>
      <c r="AC92" s="4"/>
      <c r="AD92" s="4"/>
      <c r="AE92" s="4"/>
      <c r="AF92" s="4"/>
      <c r="AG92" s="4"/>
      <c r="AH92" s="4"/>
      <c r="AI92" s="4"/>
      <c r="AJ92" s="4"/>
      <c r="AK92" s="4"/>
      <c r="AL92" s="4"/>
      <c r="AM92" s="4"/>
    </row>
    <row r="93" spans="1:39" x14ac:dyDescent="0.2">
      <c r="A93" s="4"/>
      <c r="R93" s="4"/>
      <c r="S93" s="4"/>
      <c r="T93" s="4"/>
      <c r="U93" s="4"/>
      <c r="V93" s="4"/>
      <c r="W93" s="4"/>
      <c r="X93" s="4"/>
      <c r="Y93" s="4"/>
      <c r="Z93" s="4"/>
      <c r="AA93" s="4"/>
      <c r="AB93" s="4"/>
      <c r="AC93" s="4"/>
      <c r="AD93" s="4"/>
      <c r="AE93" s="4"/>
      <c r="AF93" s="4"/>
      <c r="AG93" s="4"/>
      <c r="AH93" s="4"/>
      <c r="AI93" s="4"/>
      <c r="AJ93" s="4"/>
      <c r="AK93" s="4"/>
      <c r="AL93" s="4"/>
      <c r="AM93" s="4"/>
    </row>
    <row r="94" spans="1:39" x14ac:dyDescent="0.2">
      <c r="A94" s="4"/>
      <c r="R94" s="4"/>
      <c r="S94" s="4"/>
      <c r="T94" s="4"/>
      <c r="U94" s="4"/>
      <c r="V94" s="4"/>
      <c r="W94" s="4"/>
      <c r="X94" s="4"/>
      <c r="Y94" s="4"/>
      <c r="Z94" s="4"/>
      <c r="AA94" s="4"/>
      <c r="AB94" s="4"/>
      <c r="AC94" s="4"/>
      <c r="AD94" s="4"/>
      <c r="AE94" s="4"/>
      <c r="AF94" s="4"/>
      <c r="AG94" s="4"/>
      <c r="AH94" s="4"/>
      <c r="AI94" s="4"/>
      <c r="AJ94" s="4"/>
      <c r="AK94" s="4"/>
      <c r="AL94" s="4"/>
      <c r="AM94" s="4"/>
    </row>
    <row r="95" spans="1:39" x14ac:dyDescent="0.2">
      <c r="A95" s="4"/>
      <c r="R95" s="4"/>
      <c r="S95" s="4"/>
      <c r="T95" s="4"/>
      <c r="U95" s="4"/>
      <c r="V95" s="4"/>
      <c r="W95" s="4"/>
      <c r="X95" s="4"/>
      <c r="Y95" s="4"/>
      <c r="Z95" s="4"/>
      <c r="AA95" s="4"/>
      <c r="AB95" s="4"/>
      <c r="AC95" s="4"/>
      <c r="AD95" s="4"/>
      <c r="AE95" s="4"/>
      <c r="AF95" s="4"/>
      <c r="AG95" s="4"/>
      <c r="AH95" s="4"/>
      <c r="AI95" s="4"/>
      <c r="AJ95" s="4"/>
      <c r="AK95" s="4"/>
      <c r="AL95" s="4"/>
      <c r="AM95" s="4"/>
    </row>
    <row r="96" spans="1:39" x14ac:dyDescent="0.2">
      <c r="A96" s="4"/>
      <c r="R96" s="4"/>
      <c r="S96" s="4"/>
      <c r="T96" s="4"/>
      <c r="U96" s="4"/>
      <c r="V96" s="4"/>
      <c r="W96" s="4"/>
      <c r="X96" s="4"/>
      <c r="Y96" s="4"/>
      <c r="Z96" s="4"/>
      <c r="AA96" s="4"/>
      <c r="AB96" s="4"/>
      <c r="AC96" s="4"/>
      <c r="AD96" s="4"/>
      <c r="AE96" s="4"/>
      <c r="AF96" s="4"/>
      <c r="AG96" s="4"/>
      <c r="AH96" s="4"/>
      <c r="AI96" s="4"/>
      <c r="AJ96" s="4"/>
      <c r="AK96" s="4"/>
      <c r="AL96" s="4"/>
      <c r="AM96" s="4"/>
    </row>
    <row r="97" spans="1:39" x14ac:dyDescent="0.2">
      <c r="A97" s="4"/>
      <c r="R97" s="4"/>
      <c r="S97" s="4"/>
      <c r="T97" s="4"/>
      <c r="U97" s="4"/>
      <c r="V97" s="4"/>
      <c r="W97" s="4"/>
      <c r="X97" s="4"/>
      <c r="Y97" s="4"/>
      <c r="Z97" s="4"/>
      <c r="AA97" s="4"/>
      <c r="AB97" s="4"/>
      <c r="AC97" s="4"/>
      <c r="AD97" s="4"/>
      <c r="AE97" s="4"/>
      <c r="AF97" s="4"/>
      <c r="AG97" s="4"/>
      <c r="AH97" s="4"/>
      <c r="AI97" s="4"/>
      <c r="AJ97" s="4"/>
      <c r="AK97" s="4"/>
      <c r="AL97" s="4"/>
      <c r="AM97" s="4"/>
    </row>
    <row r="98" spans="1:39" x14ac:dyDescent="0.2">
      <c r="A98" s="4"/>
      <c r="R98" s="4"/>
      <c r="S98" s="4"/>
      <c r="T98" s="4"/>
      <c r="U98" s="4"/>
      <c r="V98" s="4"/>
      <c r="W98" s="4"/>
      <c r="X98" s="4"/>
      <c r="Y98" s="4"/>
      <c r="Z98" s="4"/>
      <c r="AA98" s="4"/>
      <c r="AB98" s="4"/>
      <c r="AC98" s="4"/>
      <c r="AD98" s="4"/>
      <c r="AE98" s="4"/>
      <c r="AF98" s="4"/>
      <c r="AG98" s="4"/>
      <c r="AH98" s="4"/>
      <c r="AI98" s="4"/>
      <c r="AJ98" s="4"/>
      <c r="AK98" s="4"/>
      <c r="AL98" s="4"/>
      <c r="AM98" s="4"/>
    </row>
    <row r="99" spans="1:39" x14ac:dyDescent="0.2">
      <c r="A99" s="4"/>
      <c r="R99" s="4"/>
      <c r="S99" s="4"/>
      <c r="T99" s="4"/>
      <c r="U99" s="4"/>
      <c r="V99" s="4"/>
      <c r="W99" s="4"/>
      <c r="X99" s="4"/>
      <c r="Y99" s="4"/>
      <c r="Z99" s="4"/>
      <c r="AA99" s="4"/>
      <c r="AB99" s="4"/>
      <c r="AC99" s="4"/>
      <c r="AD99" s="4"/>
      <c r="AE99" s="4"/>
      <c r="AF99" s="4"/>
      <c r="AG99" s="4"/>
      <c r="AH99" s="4"/>
      <c r="AI99" s="4"/>
      <c r="AJ99" s="4"/>
      <c r="AK99" s="4"/>
      <c r="AL99" s="4"/>
      <c r="AM99" s="4"/>
    </row>
    <row r="100" spans="1:39" x14ac:dyDescent="0.2">
      <c r="A100" s="4"/>
      <c r="R100" s="4"/>
      <c r="S100" s="4"/>
      <c r="T100" s="4"/>
      <c r="U100" s="4"/>
      <c r="V100" s="4"/>
      <c r="W100" s="4"/>
      <c r="X100" s="4"/>
      <c r="Y100" s="4"/>
      <c r="Z100" s="4"/>
      <c r="AA100" s="4"/>
      <c r="AB100" s="4"/>
      <c r="AC100" s="4"/>
      <c r="AD100" s="4"/>
      <c r="AE100" s="4"/>
      <c r="AF100" s="4"/>
      <c r="AG100" s="4"/>
      <c r="AH100" s="4"/>
      <c r="AI100" s="4"/>
      <c r="AJ100" s="4"/>
      <c r="AK100" s="4"/>
      <c r="AL100" s="4"/>
      <c r="AM100" s="4"/>
    </row>
    <row r="101" spans="1:39" x14ac:dyDescent="0.2">
      <c r="A101" s="4"/>
      <c r="R101" s="4"/>
      <c r="S101" s="4"/>
      <c r="T101" s="4"/>
      <c r="U101" s="4"/>
      <c r="V101" s="4"/>
      <c r="W101" s="4"/>
      <c r="X101" s="4"/>
      <c r="Y101" s="4"/>
      <c r="Z101" s="4"/>
      <c r="AA101" s="4"/>
      <c r="AB101" s="4"/>
      <c r="AC101" s="4"/>
      <c r="AD101" s="4"/>
      <c r="AE101" s="4"/>
      <c r="AF101" s="4"/>
      <c r="AG101" s="4"/>
      <c r="AH101" s="4"/>
      <c r="AI101" s="4"/>
      <c r="AJ101" s="4"/>
      <c r="AK101" s="4"/>
      <c r="AL101" s="4"/>
      <c r="AM101" s="4"/>
    </row>
    <row r="102" spans="1:39" x14ac:dyDescent="0.2">
      <c r="A102" s="4"/>
      <c r="R102" s="4"/>
      <c r="S102" s="4"/>
      <c r="T102" s="4"/>
      <c r="U102" s="4"/>
      <c r="V102" s="4"/>
      <c r="W102" s="4"/>
      <c r="X102" s="4"/>
      <c r="Y102" s="4"/>
      <c r="Z102" s="4"/>
      <c r="AA102" s="4"/>
      <c r="AB102" s="4"/>
      <c r="AC102" s="4"/>
      <c r="AD102" s="4"/>
      <c r="AE102" s="4"/>
      <c r="AF102" s="4"/>
      <c r="AG102" s="4"/>
      <c r="AH102" s="4"/>
      <c r="AI102" s="4"/>
      <c r="AJ102" s="4"/>
      <c r="AK102" s="4"/>
      <c r="AL102" s="4"/>
      <c r="AM102" s="4"/>
    </row>
    <row r="103" spans="1:39" x14ac:dyDescent="0.2">
      <c r="A103" s="4"/>
      <c r="R103" s="4"/>
      <c r="S103" s="4"/>
      <c r="T103" s="4"/>
      <c r="U103" s="4"/>
      <c r="V103" s="4"/>
      <c r="W103" s="4"/>
      <c r="X103" s="4"/>
      <c r="Y103" s="4"/>
      <c r="Z103" s="4"/>
      <c r="AA103" s="4"/>
      <c r="AB103" s="4"/>
      <c r="AC103" s="4"/>
      <c r="AD103" s="4"/>
      <c r="AE103" s="4"/>
      <c r="AF103" s="4"/>
      <c r="AG103" s="4"/>
      <c r="AH103" s="4"/>
      <c r="AI103" s="4"/>
      <c r="AJ103" s="4"/>
      <c r="AK103" s="4"/>
      <c r="AL103" s="4"/>
      <c r="AM103" s="4"/>
    </row>
    <row r="104" spans="1:39" x14ac:dyDescent="0.2">
      <c r="A104" s="4"/>
      <c r="R104" s="4"/>
      <c r="S104" s="4"/>
      <c r="T104" s="4"/>
      <c r="U104" s="4"/>
      <c r="V104" s="4"/>
      <c r="W104" s="4"/>
      <c r="X104" s="4"/>
      <c r="Y104" s="4"/>
      <c r="Z104" s="4"/>
      <c r="AA104" s="4"/>
      <c r="AB104" s="4"/>
      <c r="AC104" s="4"/>
      <c r="AD104" s="4"/>
      <c r="AE104" s="4"/>
      <c r="AF104" s="4"/>
      <c r="AG104" s="4"/>
      <c r="AH104" s="4"/>
      <c r="AI104" s="4"/>
      <c r="AJ104" s="4"/>
      <c r="AK104" s="4"/>
      <c r="AL104" s="4"/>
      <c r="AM104" s="4"/>
    </row>
    <row r="105" spans="1:39" x14ac:dyDescent="0.2">
      <c r="A105" s="4"/>
      <c r="R105" s="4"/>
      <c r="S105" s="4"/>
      <c r="T105" s="4"/>
      <c r="U105" s="4"/>
      <c r="V105" s="4"/>
      <c r="W105" s="4"/>
      <c r="X105" s="4"/>
      <c r="Y105" s="4"/>
      <c r="Z105" s="4"/>
      <c r="AA105" s="4"/>
      <c r="AB105" s="4"/>
      <c r="AC105" s="4"/>
      <c r="AD105" s="4"/>
      <c r="AE105" s="4"/>
      <c r="AF105" s="4"/>
      <c r="AG105" s="4"/>
      <c r="AH105" s="4"/>
      <c r="AI105" s="4"/>
      <c r="AJ105" s="4"/>
      <c r="AK105" s="4"/>
      <c r="AL105" s="4"/>
      <c r="AM105" s="4"/>
    </row>
    <row r="106" spans="1:39" x14ac:dyDescent="0.2">
      <c r="A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1:39" x14ac:dyDescent="0.2">
      <c r="A107" s="4"/>
      <c r="R107" s="4"/>
      <c r="S107" s="4"/>
      <c r="T107" s="4"/>
      <c r="U107" s="4"/>
      <c r="V107" s="4"/>
      <c r="W107" s="4"/>
      <c r="X107" s="4"/>
      <c r="Y107" s="4"/>
      <c r="Z107" s="4"/>
      <c r="AA107" s="4"/>
      <c r="AB107" s="4"/>
      <c r="AC107" s="4"/>
      <c r="AD107" s="4"/>
      <c r="AE107" s="4"/>
      <c r="AF107" s="4"/>
      <c r="AG107" s="4"/>
      <c r="AH107" s="4"/>
      <c r="AI107" s="4"/>
      <c r="AJ107" s="4"/>
      <c r="AK107" s="4"/>
      <c r="AL107" s="4"/>
      <c r="AM107" s="4"/>
    </row>
    <row r="108" spans="1:39" x14ac:dyDescent="0.2">
      <c r="A108" s="4"/>
      <c r="R108" s="4"/>
      <c r="S108" s="4"/>
      <c r="T108" s="4"/>
      <c r="U108" s="4"/>
      <c r="V108" s="4"/>
      <c r="W108" s="4"/>
      <c r="X108" s="4"/>
      <c r="Y108" s="4"/>
      <c r="Z108" s="4"/>
      <c r="AA108" s="4"/>
      <c r="AB108" s="4"/>
      <c r="AC108" s="4"/>
      <c r="AD108" s="4"/>
      <c r="AE108" s="4"/>
      <c r="AF108" s="4"/>
      <c r="AG108" s="4"/>
      <c r="AH108" s="4"/>
      <c r="AI108" s="4"/>
      <c r="AJ108" s="4"/>
      <c r="AK108" s="4"/>
      <c r="AL108" s="4"/>
      <c r="AM108" s="4"/>
    </row>
    <row r="109" spans="1:39" x14ac:dyDescent="0.2">
      <c r="A109" s="4"/>
      <c r="R109" s="4"/>
      <c r="S109" s="4"/>
      <c r="T109" s="4"/>
      <c r="U109" s="4"/>
      <c r="V109" s="4"/>
      <c r="W109" s="4"/>
      <c r="X109" s="4"/>
      <c r="Y109" s="4"/>
      <c r="Z109" s="4"/>
      <c r="AA109" s="4"/>
      <c r="AB109" s="4"/>
      <c r="AC109" s="4"/>
      <c r="AD109" s="4"/>
      <c r="AE109" s="4"/>
      <c r="AF109" s="4"/>
      <c r="AG109" s="4"/>
      <c r="AH109" s="4"/>
      <c r="AI109" s="4"/>
      <c r="AJ109" s="4"/>
      <c r="AK109" s="4"/>
      <c r="AL109" s="4"/>
      <c r="AM109" s="4"/>
    </row>
    <row r="110" spans="1:39" x14ac:dyDescent="0.2">
      <c r="A110" s="4"/>
      <c r="R110" s="4"/>
      <c r="S110" s="4"/>
      <c r="T110" s="4"/>
      <c r="U110" s="4"/>
      <c r="V110" s="4"/>
      <c r="W110" s="4"/>
      <c r="X110" s="4"/>
      <c r="Y110" s="4"/>
      <c r="Z110" s="4"/>
      <c r="AA110" s="4"/>
      <c r="AB110" s="4"/>
      <c r="AC110" s="4"/>
      <c r="AD110" s="4"/>
      <c r="AE110" s="4"/>
      <c r="AF110" s="4"/>
      <c r="AG110" s="4"/>
      <c r="AH110" s="4"/>
      <c r="AI110" s="4"/>
      <c r="AJ110" s="4"/>
      <c r="AK110" s="4"/>
      <c r="AL110" s="4"/>
      <c r="AM110" s="4"/>
    </row>
    <row r="111" spans="1:39" x14ac:dyDescent="0.2">
      <c r="A111" s="4"/>
      <c r="R111" s="4"/>
      <c r="S111" s="4"/>
      <c r="T111" s="4"/>
      <c r="U111" s="4"/>
      <c r="V111" s="4"/>
      <c r="W111" s="4"/>
      <c r="X111" s="4"/>
      <c r="Y111" s="4"/>
      <c r="Z111" s="4"/>
      <c r="AA111" s="4"/>
      <c r="AB111" s="4"/>
      <c r="AC111" s="4"/>
      <c r="AD111" s="4"/>
      <c r="AE111" s="4"/>
      <c r="AF111" s="4"/>
      <c r="AG111" s="4"/>
      <c r="AH111" s="4"/>
      <c r="AI111" s="4"/>
      <c r="AJ111" s="4"/>
      <c r="AK111" s="4"/>
      <c r="AL111" s="4"/>
      <c r="AM111" s="4"/>
    </row>
    <row r="112" spans="1:39" x14ac:dyDescent="0.2">
      <c r="A112" s="4"/>
      <c r="R112" s="4"/>
      <c r="S112" s="4"/>
      <c r="T112" s="4"/>
      <c r="U112" s="4"/>
      <c r="V112" s="4"/>
      <c r="W112" s="4"/>
      <c r="X112" s="4"/>
      <c r="Y112" s="4"/>
      <c r="Z112" s="4"/>
      <c r="AA112" s="4"/>
      <c r="AB112" s="4"/>
      <c r="AC112" s="4"/>
      <c r="AD112" s="4"/>
      <c r="AE112" s="4"/>
      <c r="AF112" s="4"/>
      <c r="AG112" s="4"/>
      <c r="AH112" s="4"/>
      <c r="AI112" s="4"/>
      <c r="AJ112" s="4"/>
      <c r="AK112" s="4"/>
      <c r="AL112" s="4"/>
      <c r="AM112" s="4"/>
    </row>
    <row r="113" spans="1:39" x14ac:dyDescent="0.2">
      <c r="A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1:39" x14ac:dyDescent="0.2">
      <c r="A114" s="4"/>
      <c r="R114" s="4"/>
      <c r="S114" s="4"/>
      <c r="T114" s="4"/>
      <c r="U114" s="4"/>
      <c r="V114" s="4"/>
      <c r="W114" s="4"/>
      <c r="X114" s="4"/>
      <c r="Y114" s="4"/>
      <c r="Z114" s="4"/>
      <c r="AA114" s="4"/>
      <c r="AB114" s="4"/>
      <c r="AC114" s="4"/>
      <c r="AD114" s="4"/>
      <c r="AE114" s="4"/>
      <c r="AF114" s="4"/>
      <c r="AG114" s="4"/>
      <c r="AH114" s="4"/>
      <c r="AI114" s="4"/>
      <c r="AJ114" s="4"/>
      <c r="AK114" s="4"/>
      <c r="AL114" s="4"/>
      <c r="AM114" s="4"/>
    </row>
    <row r="115" spans="1:39" x14ac:dyDescent="0.2">
      <c r="A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1:39" x14ac:dyDescent="0.2">
      <c r="A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x14ac:dyDescent="0.2">
      <c r="A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1:39" x14ac:dyDescent="0.2">
      <c r="A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1:39" x14ac:dyDescent="0.2">
      <c r="A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x14ac:dyDescent="0.2">
      <c r="A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x14ac:dyDescent="0.2">
      <c r="A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x14ac:dyDescent="0.2">
      <c r="A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1:39" x14ac:dyDescent="0.2">
      <c r="A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1:39" x14ac:dyDescent="0.2">
      <c r="A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1:39" x14ac:dyDescent="0.2">
      <c r="A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1:39" x14ac:dyDescent="0.2">
      <c r="A126" s="4"/>
      <c r="R126" s="4"/>
      <c r="S126" s="4"/>
      <c r="T126" s="4"/>
      <c r="U126" s="4"/>
      <c r="V126" s="4"/>
      <c r="W126" s="4"/>
      <c r="X126" s="4"/>
      <c r="Y126" s="4"/>
      <c r="Z126" s="4"/>
      <c r="AA126" s="4"/>
      <c r="AB126" s="4"/>
      <c r="AC126" s="4"/>
      <c r="AD126" s="4"/>
      <c r="AE126" s="4"/>
      <c r="AF126" s="4"/>
      <c r="AG126" s="4"/>
      <c r="AH126" s="4"/>
      <c r="AI126" s="4"/>
      <c r="AJ126" s="4"/>
      <c r="AK126" s="4"/>
      <c r="AL126" s="4"/>
      <c r="AM126" s="4"/>
    </row>
    <row r="127" spans="1:39" x14ac:dyDescent="0.2">
      <c r="A127" s="4"/>
      <c r="R127" s="4"/>
      <c r="S127" s="4"/>
      <c r="T127" s="4"/>
      <c r="U127" s="4"/>
      <c r="V127" s="4"/>
      <c r="W127" s="4"/>
      <c r="X127" s="4"/>
      <c r="Y127" s="4"/>
      <c r="Z127" s="4"/>
      <c r="AA127" s="4"/>
      <c r="AB127" s="4"/>
      <c r="AC127" s="4"/>
      <c r="AD127" s="4"/>
      <c r="AE127" s="4"/>
      <c r="AF127" s="4"/>
      <c r="AG127" s="4"/>
      <c r="AH127" s="4"/>
      <c r="AI127" s="4"/>
      <c r="AJ127" s="4"/>
      <c r="AK127" s="4"/>
      <c r="AL127" s="4"/>
      <c r="AM127" s="4"/>
    </row>
    <row r="128" spans="1:39" x14ac:dyDescent="0.2">
      <c r="A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1:39" x14ac:dyDescent="0.2">
      <c r="A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x14ac:dyDescent="0.2">
      <c r="A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x14ac:dyDescent="0.2">
      <c r="A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x14ac:dyDescent="0.2">
      <c r="A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1:39" x14ac:dyDescent="0.2">
      <c r="A133" s="4"/>
      <c r="R133" s="4"/>
      <c r="S133" s="4"/>
      <c r="T133" s="4"/>
      <c r="U133" s="4"/>
      <c r="V133" s="4"/>
      <c r="W133" s="4"/>
      <c r="X133" s="4"/>
      <c r="Y133" s="4"/>
      <c r="Z133" s="4"/>
      <c r="AA133" s="4"/>
      <c r="AB133" s="4"/>
      <c r="AC133" s="4"/>
      <c r="AD133" s="4"/>
      <c r="AE133" s="4"/>
      <c r="AF133" s="4"/>
      <c r="AG133" s="4"/>
      <c r="AH133" s="4"/>
      <c r="AI133" s="4"/>
      <c r="AJ133" s="4"/>
      <c r="AK133" s="4"/>
      <c r="AL133" s="4"/>
      <c r="AM133" s="4"/>
    </row>
    <row r="134" spans="1:39" x14ac:dyDescent="0.2">
      <c r="A134" s="4"/>
      <c r="R134" s="4"/>
      <c r="S134" s="4"/>
      <c r="T134" s="4"/>
      <c r="U134" s="4"/>
      <c r="V134" s="4"/>
      <c r="W134" s="4"/>
      <c r="X134" s="4"/>
      <c r="Y134" s="4"/>
      <c r="Z134" s="4"/>
      <c r="AA134" s="4"/>
      <c r="AB134" s="4"/>
      <c r="AC134" s="4"/>
      <c r="AD134" s="4"/>
      <c r="AE134" s="4"/>
      <c r="AF134" s="4"/>
      <c r="AG134" s="4"/>
      <c r="AH134" s="4"/>
      <c r="AI134" s="4"/>
      <c r="AJ134" s="4"/>
      <c r="AK134" s="4"/>
      <c r="AL134" s="4"/>
      <c r="AM134" s="4"/>
    </row>
    <row r="135" spans="1:39" x14ac:dyDescent="0.2">
      <c r="A135" s="4"/>
      <c r="R135" s="4"/>
      <c r="S135" s="4"/>
      <c r="T135" s="4"/>
      <c r="U135" s="4"/>
      <c r="V135" s="4"/>
      <c r="W135" s="4"/>
      <c r="X135" s="4"/>
      <c r="Y135" s="4"/>
      <c r="Z135" s="4"/>
      <c r="AA135" s="4"/>
      <c r="AB135" s="4"/>
      <c r="AC135" s="4"/>
      <c r="AD135" s="4"/>
      <c r="AE135" s="4"/>
      <c r="AF135" s="4"/>
      <c r="AG135" s="4"/>
      <c r="AH135" s="4"/>
      <c r="AI135" s="4"/>
      <c r="AJ135" s="4"/>
      <c r="AK135" s="4"/>
      <c r="AL135" s="4"/>
      <c r="AM135" s="4"/>
    </row>
    <row r="136" spans="1:39" x14ac:dyDescent="0.2">
      <c r="A136" s="4"/>
      <c r="R136" s="4"/>
      <c r="S136" s="4"/>
      <c r="T136" s="4"/>
      <c r="U136" s="4"/>
      <c r="V136" s="4"/>
      <c r="W136" s="4"/>
      <c r="X136" s="4"/>
      <c r="Y136" s="4"/>
      <c r="Z136" s="4"/>
      <c r="AA136" s="4"/>
      <c r="AB136" s="4"/>
      <c r="AC136" s="4"/>
      <c r="AD136" s="4"/>
      <c r="AE136" s="4"/>
      <c r="AF136" s="4"/>
      <c r="AG136" s="4"/>
      <c r="AH136" s="4"/>
      <c r="AI136" s="4"/>
      <c r="AJ136" s="4"/>
      <c r="AK136" s="4"/>
      <c r="AL136" s="4"/>
      <c r="AM136" s="4"/>
    </row>
    <row r="137" spans="1:39" x14ac:dyDescent="0.2">
      <c r="A137" s="4"/>
      <c r="R137" s="4"/>
      <c r="S137" s="4"/>
      <c r="T137" s="4"/>
      <c r="U137" s="4"/>
      <c r="V137" s="4"/>
      <c r="W137" s="4"/>
      <c r="X137" s="4"/>
      <c r="Y137" s="4"/>
      <c r="Z137" s="4"/>
      <c r="AA137" s="4"/>
      <c r="AB137" s="4"/>
      <c r="AC137" s="4"/>
      <c r="AD137" s="4"/>
      <c r="AE137" s="4"/>
      <c r="AF137" s="4"/>
      <c r="AG137" s="4"/>
      <c r="AH137" s="4"/>
      <c r="AI137" s="4"/>
      <c r="AJ137" s="4"/>
      <c r="AK137" s="4"/>
      <c r="AL137" s="4"/>
      <c r="AM137" s="4"/>
    </row>
    <row r="138" spans="1:39" x14ac:dyDescent="0.2">
      <c r="A138" s="4"/>
      <c r="R138" s="4"/>
      <c r="S138" s="4"/>
      <c r="T138" s="4"/>
      <c r="U138" s="4"/>
      <c r="V138" s="4"/>
      <c r="W138" s="4"/>
      <c r="X138" s="4"/>
      <c r="Y138" s="4"/>
      <c r="Z138" s="4"/>
      <c r="AA138" s="4"/>
      <c r="AB138" s="4"/>
      <c r="AC138" s="4"/>
      <c r="AD138" s="4"/>
      <c r="AE138" s="4"/>
      <c r="AF138" s="4"/>
      <c r="AG138" s="4"/>
      <c r="AH138" s="4"/>
      <c r="AI138" s="4"/>
      <c r="AJ138" s="4"/>
      <c r="AK138" s="4"/>
      <c r="AL138" s="4"/>
      <c r="AM138" s="4"/>
    </row>
    <row r="139" spans="1:39" x14ac:dyDescent="0.2">
      <c r="A139" s="4"/>
      <c r="R139" s="4"/>
      <c r="S139" s="4"/>
      <c r="T139" s="4"/>
      <c r="U139" s="4"/>
      <c r="V139" s="4"/>
      <c r="W139" s="4"/>
      <c r="X139" s="4"/>
      <c r="Y139" s="4"/>
      <c r="Z139" s="4"/>
      <c r="AA139" s="4"/>
      <c r="AB139" s="4"/>
      <c r="AC139" s="4"/>
      <c r="AD139" s="4"/>
      <c r="AE139" s="4"/>
      <c r="AF139" s="4"/>
      <c r="AG139" s="4"/>
      <c r="AH139" s="4"/>
      <c r="AI139" s="4"/>
      <c r="AJ139" s="4"/>
      <c r="AK139" s="4"/>
      <c r="AL139" s="4"/>
      <c r="AM139" s="4"/>
    </row>
    <row r="140" spans="1:39" x14ac:dyDescent="0.2">
      <c r="A140" s="4"/>
      <c r="R140" s="4"/>
      <c r="S140" s="4"/>
      <c r="T140" s="4"/>
      <c r="U140" s="4"/>
      <c r="V140" s="4"/>
      <c r="W140" s="4"/>
      <c r="X140" s="4"/>
      <c r="Y140" s="4"/>
      <c r="Z140" s="4"/>
      <c r="AA140" s="4"/>
      <c r="AB140" s="4"/>
      <c r="AC140" s="4"/>
      <c r="AD140" s="4"/>
      <c r="AE140" s="4"/>
      <c r="AF140" s="4"/>
      <c r="AG140" s="4"/>
      <c r="AH140" s="4"/>
      <c r="AI140" s="4"/>
      <c r="AJ140" s="4"/>
      <c r="AK140" s="4"/>
      <c r="AL140" s="4"/>
      <c r="AM140" s="4"/>
    </row>
    <row r="141" spans="1:39" x14ac:dyDescent="0.2">
      <c r="A141" s="4"/>
      <c r="R141" s="4"/>
      <c r="S141" s="4"/>
      <c r="T141" s="4"/>
      <c r="U141" s="4"/>
      <c r="V141" s="4"/>
      <c r="W141" s="4"/>
      <c r="X141" s="4"/>
      <c r="Y141" s="4"/>
      <c r="Z141" s="4"/>
      <c r="AA141" s="4"/>
      <c r="AB141" s="4"/>
      <c r="AC141" s="4"/>
      <c r="AD141" s="4"/>
      <c r="AE141" s="4"/>
      <c r="AF141" s="4"/>
      <c r="AG141" s="4"/>
      <c r="AH141" s="4"/>
      <c r="AI141" s="4"/>
      <c r="AJ141" s="4"/>
      <c r="AK141" s="4"/>
      <c r="AL141" s="4"/>
      <c r="AM141" s="4"/>
    </row>
    <row r="142" spans="1:39" x14ac:dyDescent="0.2">
      <c r="A142" s="4"/>
      <c r="R142" s="4"/>
      <c r="S142" s="4"/>
      <c r="T142" s="4"/>
      <c r="U142" s="4"/>
      <c r="V142" s="4"/>
      <c r="W142" s="4"/>
      <c r="X142" s="4"/>
      <c r="Y142" s="4"/>
      <c r="Z142" s="4"/>
      <c r="AA142" s="4"/>
      <c r="AB142" s="4"/>
      <c r="AC142" s="4"/>
      <c r="AD142" s="4"/>
      <c r="AE142" s="4"/>
      <c r="AF142" s="4"/>
      <c r="AG142" s="4"/>
      <c r="AH142" s="4"/>
      <c r="AI142" s="4"/>
      <c r="AJ142" s="4"/>
      <c r="AK142" s="4"/>
      <c r="AL142" s="4"/>
      <c r="AM142" s="4"/>
    </row>
    <row r="143" spans="1:39" x14ac:dyDescent="0.2">
      <c r="A143" s="4"/>
      <c r="R143" s="4"/>
      <c r="S143" s="4"/>
      <c r="T143" s="4"/>
      <c r="U143" s="4"/>
      <c r="V143" s="4"/>
      <c r="W143" s="4"/>
      <c r="X143" s="4"/>
      <c r="Y143" s="4"/>
      <c r="Z143" s="4"/>
      <c r="AA143" s="4"/>
      <c r="AB143" s="4"/>
      <c r="AC143" s="4"/>
      <c r="AD143" s="4"/>
      <c r="AE143" s="4"/>
      <c r="AF143" s="4"/>
      <c r="AG143" s="4"/>
      <c r="AH143" s="4"/>
      <c r="AI143" s="4"/>
      <c r="AJ143" s="4"/>
      <c r="AK143" s="4"/>
      <c r="AL143" s="4"/>
      <c r="AM143" s="4"/>
    </row>
    <row r="144" spans="1:39" x14ac:dyDescent="0.2">
      <c r="A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x14ac:dyDescent="0.2">
      <c r="A145" s="4"/>
      <c r="R145" s="4"/>
      <c r="S145" s="4"/>
      <c r="T145" s="4"/>
      <c r="U145" s="4"/>
      <c r="V145" s="4"/>
      <c r="W145" s="4"/>
      <c r="X145" s="4"/>
      <c r="Y145" s="4"/>
      <c r="Z145" s="4"/>
      <c r="AA145" s="4"/>
      <c r="AB145" s="4"/>
      <c r="AC145" s="4"/>
      <c r="AD145" s="4"/>
      <c r="AE145" s="4"/>
      <c r="AF145" s="4"/>
      <c r="AG145" s="4"/>
      <c r="AH145" s="4"/>
      <c r="AI145" s="4"/>
      <c r="AJ145" s="4"/>
      <c r="AK145" s="4"/>
      <c r="AL145" s="4"/>
      <c r="AM145" s="4"/>
    </row>
    <row r="146" spans="1:39" x14ac:dyDescent="0.2">
      <c r="A146" s="4"/>
      <c r="R146" s="4"/>
      <c r="S146" s="4"/>
      <c r="T146" s="4"/>
      <c r="U146" s="4"/>
      <c r="V146" s="4"/>
      <c r="W146" s="4"/>
      <c r="X146" s="4"/>
      <c r="Y146" s="4"/>
      <c r="Z146" s="4"/>
      <c r="AA146" s="4"/>
      <c r="AB146" s="4"/>
      <c r="AC146" s="4"/>
      <c r="AD146" s="4"/>
      <c r="AE146" s="4"/>
      <c r="AF146" s="4"/>
      <c r="AG146" s="4"/>
      <c r="AH146" s="4"/>
      <c r="AI146" s="4"/>
      <c r="AJ146" s="4"/>
      <c r="AK146" s="4"/>
      <c r="AL146" s="4"/>
      <c r="AM146" s="4"/>
    </row>
    <row r="147" spans="1:39" x14ac:dyDescent="0.2">
      <c r="A147" s="4"/>
      <c r="R147" s="4"/>
      <c r="S147" s="4"/>
      <c r="T147" s="4"/>
      <c r="U147" s="4"/>
      <c r="V147" s="4"/>
      <c r="W147" s="4"/>
      <c r="X147" s="4"/>
      <c r="Y147" s="4"/>
      <c r="Z147" s="4"/>
      <c r="AA147" s="4"/>
      <c r="AB147" s="4"/>
      <c r="AC147" s="4"/>
      <c r="AD147" s="4"/>
      <c r="AE147" s="4"/>
      <c r="AF147" s="4"/>
      <c r="AG147" s="4"/>
      <c r="AH147" s="4"/>
      <c r="AI147" s="4"/>
      <c r="AJ147" s="4"/>
      <c r="AK147" s="4"/>
      <c r="AL147" s="4"/>
      <c r="AM147" s="4"/>
    </row>
    <row r="148" spans="1:39" x14ac:dyDescent="0.2">
      <c r="A148" s="4"/>
      <c r="R148" s="4"/>
      <c r="S148" s="4"/>
      <c r="T148" s="4"/>
      <c r="U148" s="4"/>
      <c r="V148" s="4"/>
      <c r="W148" s="4"/>
      <c r="X148" s="4"/>
      <c r="Y148" s="4"/>
      <c r="Z148" s="4"/>
      <c r="AA148" s="4"/>
      <c r="AB148" s="4"/>
      <c r="AC148" s="4"/>
      <c r="AD148" s="4"/>
      <c r="AE148" s="4"/>
      <c r="AF148" s="4"/>
      <c r="AG148" s="4"/>
      <c r="AH148" s="4"/>
      <c r="AI148" s="4"/>
      <c r="AJ148" s="4"/>
      <c r="AK148" s="4"/>
      <c r="AL148" s="4"/>
      <c r="AM148" s="4"/>
    </row>
    <row r="149" spans="1:39" x14ac:dyDescent="0.2">
      <c r="A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1:39" x14ac:dyDescent="0.2">
      <c r="A150" s="4"/>
      <c r="R150" s="4"/>
      <c r="S150" s="4"/>
      <c r="T150" s="4"/>
      <c r="U150" s="4"/>
      <c r="V150" s="4"/>
      <c r="W150" s="4"/>
      <c r="X150" s="4"/>
      <c r="Y150" s="4"/>
      <c r="Z150" s="4"/>
      <c r="AA150" s="4"/>
      <c r="AB150" s="4"/>
      <c r="AC150" s="4"/>
      <c r="AD150" s="4"/>
      <c r="AE150" s="4"/>
      <c r="AF150" s="4"/>
      <c r="AG150" s="4"/>
      <c r="AH150" s="4"/>
      <c r="AI150" s="4"/>
      <c r="AJ150" s="4"/>
      <c r="AK150" s="4"/>
      <c r="AL150" s="4"/>
      <c r="AM150" s="4"/>
    </row>
    <row r="151" spans="1:39" x14ac:dyDescent="0.2">
      <c r="A151" s="4"/>
      <c r="R151" s="4"/>
      <c r="S151" s="4"/>
      <c r="T151" s="4"/>
      <c r="U151" s="4"/>
      <c r="V151" s="4"/>
      <c r="W151" s="4"/>
      <c r="X151" s="4"/>
      <c r="Y151" s="4"/>
      <c r="Z151" s="4"/>
      <c r="AA151" s="4"/>
      <c r="AB151" s="4"/>
      <c r="AC151" s="4"/>
      <c r="AD151" s="4"/>
      <c r="AE151" s="4"/>
      <c r="AF151" s="4"/>
      <c r="AG151" s="4"/>
      <c r="AH151" s="4"/>
      <c r="AI151" s="4"/>
      <c r="AJ151" s="4"/>
      <c r="AK151" s="4"/>
      <c r="AL151" s="4"/>
      <c r="AM151" s="4"/>
    </row>
    <row r="152" spans="1:39" x14ac:dyDescent="0.2">
      <c r="A152" s="4"/>
      <c r="R152" s="4"/>
      <c r="S152" s="4"/>
      <c r="T152" s="4"/>
      <c r="U152" s="4"/>
      <c r="V152" s="4"/>
      <c r="W152" s="4"/>
      <c r="X152" s="4"/>
      <c r="Y152" s="4"/>
      <c r="Z152" s="4"/>
      <c r="AA152" s="4"/>
      <c r="AB152" s="4"/>
      <c r="AC152" s="4"/>
      <c r="AD152" s="4"/>
      <c r="AE152" s="4"/>
      <c r="AF152" s="4"/>
      <c r="AG152" s="4"/>
      <c r="AH152" s="4"/>
      <c r="AI152" s="4"/>
      <c r="AJ152" s="4"/>
      <c r="AK152" s="4"/>
      <c r="AL152" s="4"/>
      <c r="AM152" s="4"/>
    </row>
    <row r="153" spans="1:39" x14ac:dyDescent="0.2">
      <c r="A153" s="4"/>
      <c r="R153" s="4"/>
      <c r="S153" s="4"/>
      <c r="T153" s="4"/>
      <c r="U153" s="4"/>
      <c r="V153" s="4"/>
      <c r="W153" s="4"/>
      <c r="X153" s="4"/>
      <c r="Y153" s="4"/>
      <c r="Z153" s="4"/>
      <c r="AA153" s="4"/>
      <c r="AB153" s="4"/>
      <c r="AC153" s="4"/>
      <c r="AD153" s="4"/>
      <c r="AE153" s="4"/>
      <c r="AF153" s="4"/>
      <c r="AG153" s="4"/>
      <c r="AH153" s="4"/>
      <c r="AI153" s="4"/>
      <c r="AJ153" s="4"/>
      <c r="AK153" s="4"/>
      <c r="AL153" s="4"/>
      <c r="AM153" s="4"/>
    </row>
    <row r="154" spans="1:39" x14ac:dyDescent="0.2">
      <c r="A154" s="4"/>
      <c r="R154" s="4"/>
      <c r="S154" s="4"/>
      <c r="T154" s="4"/>
      <c r="U154" s="4"/>
      <c r="V154" s="4"/>
      <c r="W154" s="4"/>
      <c r="X154" s="4"/>
      <c r="Y154" s="4"/>
      <c r="Z154" s="4"/>
      <c r="AA154" s="4"/>
      <c r="AB154" s="4"/>
      <c r="AC154" s="4"/>
      <c r="AD154" s="4"/>
      <c r="AE154" s="4"/>
      <c r="AF154" s="4"/>
      <c r="AG154" s="4"/>
      <c r="AH154" s="4"/>
      <c r="AI154" s="4"/>
      <c r="AJ154" s="4"/>
      <c r="AK154" s="4"/>
      <c r="AL154" s="4"/>
      <c r="AM154" s="4"/>
    </row>
    <row r="155" spans="1:39" x14ac:dyDescent="0.2">
      <c r="A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1:39" x14ac:dyDescent="0.2">
      <c r="A156" s="4"/>
      <c r="R156" s="4"/>
      <c r="S156" s="4"/>
      <c r="T156" s="4"/>
      <c r="U156" s="4"/>
      <c r="V156" s="4"/>
      <c r="W156" s="4"/>
      <c r="X156" s="4"/>
      <c r="Y156" s="4"/>
      <c r="Z156" s="4"/>
      <c r="AA156" s="4"/>
      <c r="AB156" s="4"/>
      <c r="AC156" s="4"/>
      <c r="AD156" s="4"/>
      <c r="AE156" s="4"/>
      <c r="AF156" s="4"/>
      <c r="AG156" s="4"/>
      <c r="AH156" s="4"/>
      <c r="AI156" s="4"/>
      <c r="AJ156" s="4"/>
      <c r="AK156" s="4"/>
      <c r="AL156" s="4"/>
      <c r="AM156" s="4"/>
    </row>
    <row r="157" spans="1:39" x14ac:dyDescent="0.2">
      <c r="A157" s="4"/>
      <c r="R157" s="4"/>
      <c r="S157" s="4"/>
      <c r="T157" s="4"/>
      <c r="U157" s="4"/>
      <c r="V157" s="4"/>
      <c r="W157" s="4"/>
      <c r="X157" s="4"/>
      <c r="Y157" s="4"/>
      <c r="Z157" s="4"/>
      <c r="AA157" s="4"/>
      <c r="AB157" s="4"/>
      <c r="AC157" s="4"/>
      <c r="AD157" s="4"/>
      <c r="AE157" s="4"/>
      <c r="AF157" s="4"/>
      <c r="AG157" s="4"/>
      <c r="AH157" s="4"/>
      <c r="AI157" s="4"/>
      <c r="AJ157" s="4"/>
      <c r="AK157" s="4"/>
      <c r="AL157" s="4"/>
      <c r="AM157" s="4"/>
    </row>
    <row r="158" spans="1:39" x14ac:dyDescent="0.2">
      <c r="A158" s="4"/>
      <c r="R158" s="4"/>
      <c r="S158" s="4"/>
      <c r="T158" s="4"/>
      <c r="U158" s="4"/>
      <c r="V158" s="4"/>
      <c r="W158" s="4"/>
      <c r="X158" s="4"/>
      <c r="Y158" s="4"/>
      <c r="Z158" s="4"/>
      <c r="AA158" s="4"/>
      <c r="AB158" s="4"/>
      <c r="AC158" s="4"/>
      <c r="AD158" s="4"/>
      <c r="AE158" s="4"/>
      <c r="AF158" s="4"/>
      <c r="AG158" s="4"/>
      <c r="AH158" s="4"/>
      <c r="AI158" s="4"/>
      <c r="AJ158" s="4"/>
      <c r="AK158" s="4"/>
      <c r="AL158" s="4"/>
      <c r="AM158" s="4"/>
    </row>
    <row r="159" spans="1:39" x14ac:dyDescent="0.2">
      <c r="A159" s="4"/>
      <c r="R159" s="4"/>
      <c r="S159" s="4"/>
      <c r="T159" s="4"/>
      <c r="U159" s="4"/>
      <c r="V159" s="4"/>
      <c r="W159" s="4"/>
      <c r="X159" s="4"/>
      <c r="Y159" s="4"/>
      <c r="Z159" s="4"/>
      <c r="AA159" s="4"/>
      <c r="AB159" s="4"/>
      <c r="AC159" s="4"/>
      <c r="AD159" s="4"/>
      <c r="AE159" s="4"/>
      <c r="AF159" s="4"/>
      <c r="AG159" s="4"/>
      <c r="AH159" s="4"/>
      <c r="AI159" s="4"/>
      <c r="AJ159" s="4"/>
      <c r="AK159" s="4"/>
      <c r="AL159" s="4"/>
      <c r="AM159" s="4"/>
    </row>
    <row r="160" spans="1:39" x14ac:dyDescent="0.2">
      <c r="A160" s="4"/>
      <c r="R160" s="4"/>
      <c r="S160" s="4"/>
      <c r="T160" s="4"/>
      <c r="U160" s="4"/>
      <c r="V160" s="4"/>
      <c r="W160" s="4"/>
      <c r="X160" s="4"/>
      <c r="Y160" s="4"/>
      <c r="Z160" s="4"/>
      <c r="AA160" s="4"/>
      <c r="AB160" s="4"/>
      <c r="AC160" s="4"/>
      <c r="AD160" s="4"/>
      <c r="AE160" s="4"/>
      <c r="AF160" s="4"/>
      <c r="AG160" s="4"/>
      <c r="AH160" s="4"/>
      <c r="AI160" s="4"/>
      <c r="AJ160" s="4"/>
      <c r="AK160" s="4"/>
      <c r="AL160" s="4"/>
      <c r="AM160" s="4"/>
    </row>
    <row r="161" spans="1:39" x14ac:dyDescent="0.2">
      <c r="A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x14ac:dyDescent="0.2">
      <c r="A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1:39" x14ac:dyDescent="0.2">
      <c r="A163" s="4"/>
      <c r="R163" s="4"/>
      <c r="S163" s="4"/>
      <c r="T163" s="4"/>
      <c r="U163" s="4"/>
      <c r="V163" s="4"/>
      <c r="W163" s="4"/>
      <c r="X163" s="4"/>
      <c r="Y163" s="4"/>
      <c r="Z163" s="4"/>
      <c r="AA163" s="4"/>
      <c r="AB163" s="4"/>
      <c r="AC163" s="4"/>
      <c r="AD163" s="4"/>
      <c r="AE163" s="4"/>
      <c r="AF163" s="4"/>
      <c r="AG163" s="4"/>
      <c r="AH163" s="4"/>
      <c r="AI163" s="4"/>
      <c r="AJ163" s="4"/>
      <c r="AK163" s="4"/>
      <c r="AL163" s="4"/>
      <c r="AM163" s="4"/>
    </row>
    <row r="164" spans="1:39" x14ac:dyDescent="0.2">
      <c r="A164" s="4"/>
      <c r="R164" s="4"/>
      <c r="S164" s="4"/>
      <c r="T164" s="4"/>
      <c r="U164" s="4"/>
      <c r="V164" s="4"/>
      <c r="W164" s="4"/>
      <c r="X164" s="4"/>
      <c r="Y164" s="4"/>
      <c r="Z164" s="4"/>
      <c r="AA164" s="4"/>
      <c r="AB164" s="4"/>
      <c r="AC164" s="4"/>
      <c r="AD164" s="4"/>
      <c r="AE164" s="4"/>
      <c r="AF164" s="4"/>
      <c r="AG164" s="4"/>
      <c r="AH164" s="4"/>
      <c r="AI164" s="4"/>
      <c r="AJ164" s="4"/>
      <c r="AK164" s="4"/>
      <c r="AL164" s="4"/>
      <c r="AM164" s="4"/>
    </row>
    <row r="165" spans="1:39" x14ac:dyDescent="0.2">
      <c r="A165" s="4"/>
      <c r="R165" s="4"/>
      <c r="S165" s="4"/>
      <c r="T165" s="4"/>
      <c r="U165" s="4"/>
      <c r="V165" s="4"/>
      <c r="W165" s="4"/>
      <c r="X165" s="4"/>
      <c r="Y165" s="4"/>
      <c r="Z165" s="4"/>
      <c r="AA165" s="4"/>
      <c r="AB165" s="4"/>
      <c r="AC165" s="4"/>
      <c r="AD165" s="4"/>
      <c r="AE165" s="4"/>
      <c r="AF165" s="4"/>
      <c r="AG165" s="4"/>
      <c r="AH165" s="4"/>
      <c r="AI165" s="4"/>
      <c r="AJ165" s="4"/>
      <c r="AK165" s="4"/>
      <c r="AL165" s="4"/>
      <c r="AM165" s="4"/>
    </row>
    <row r="166" spans="1:39" x14ac:dyDescent="0.2">
      <c r="A166" s="4"/>
      <c r="R166" s="4"/>
      <c r="S166" s="4"/>
      <c r="T166" s="4"/>
      <c r="U166" s="4"/>
      <c r="V166" s="4"/>
      <c r="W166" s="4"/>
      <c r="X166" s="4"/>
      <c r="Y166" s="4"/>
      <c r="Z166" s="4"/>
      <c r="AA166" s="4"/>
      <c r="AB166" s="4"/>
      <c r="AC166" s="4"/>
      <c r="AD166" s="4"/>
      <c r="AE166" s="4"/>
      <c r="AF166" s="4"/>
      <c r="AG166" s="4"/>
      <c r="AH166" s="4"/>
      <c r="AI166" s="4"/>
      <c r="AJ166" s="4"/>
      <c r="AK166" s="4"/>
      <c r="AL166" s="4"/>
      <c r="AM166" s="4"/>
    </row>
    <row r="167" spans="1:39" x14ac:dyDescent="0.2">
      <c r="A167" s="4"/>
      <c r="R167" s="4"/>
      <c r="S167" s="4"/>
      <c r="T167" s="4"/>
      <c r="U167" s="4"/>
      <c r="V167" s="4"/>
      <c r="W167" s="4"/>
      <c r="X167" s="4"/>
      <c r="Y167" s="4"/>
      <c r="Z167" s="4"/>
      <c r="AA167" s="4"/>
      <c r="AB167" s="4"/>
      <c r="AC167" s="4"/>
      <c r="AD167" s="4"/>
      <c r="AE167" s="4"/>
      <c r="AF167" s="4"/>
      <c r="AG167" s="4"/>
      <c r="AH167" s="4"/>
      <c r="AI167" s="4"/>
      <c r="AJ167" s="4"/>
      <c r="AK167" s="4"/>
      <c r="AL167" s="4"/>
      <c r="AM167" s="4"/>
    </row>
    <row r="168" spans="1:39" x14ac:dyDescent="0.2">
      <c r="A168" s="4"/>
      <c r="R168" s="4"/>
      <c r="S168" s="4"/>
      <c r="T168" s="4"/>
      <c r="U168" s="4"/>
      <c r="V168" s="4"/>
      <c r="W168" s="4"/>
      <c r="X168" s="4"/>
      <c r="Y168" s="4"/>
      <c r="Z168" s="4"/>
      <c r="AA168" s="4"/>
      <c r="AB168" s="4"/>
      <c r="AC168" s="4"/>
      <c r="AD168" s="4"/>
      <c r="AE168" s="4"/>
      <c r="AF168" s="4"/>
      <c r="AG168" s="4"/>
      <c r="AH168" s="4"/>
      <c r="AI168" s="4"/>
      <c r="AJ168" s="4"/>
      <c r="AK168" s="4"/>
      <c r="AL168" s="4"/>
      <c r="AM168" s="4"/>
    </row>
    <row r="169" spans="1:39" x14ac:dyDescent="0.2">
      <c r="A169" s="4"/>
      <c r="R169" s="4"/>
      <c r="S169" s="4"/>
      <c r="T169" s="4"/>
      <c r="U169" s="4"/>
      <c r="V169" s="4"/>
      <c r="W169" s="4"/>
      <c r="X169" s="4"/>
      <c r="Y169" s="4"/>
      <c r="Z169" s="4"/>
      <c r="AA169" s="4"/>
      <c r="AB169" s="4"/>
      <c r="AC169" s="4"/>
      <c r="AD169" s="4"/>
      <c r="AE169" s="4"/>
      <c r="AF169" s="4"/>
      <c r="AG169" s="4"/>
      <c r="AH169" s="4"/>
      <c r="AI169" s="4"/>
      <c r="AJ169" s="4"/>
      <c r="AK169" s="4"/>
      <c r="AL169" s="4"/>
      <c r="AM169" s="4"/>
    </row>
    <row r="170" spans="1:39" x14ac:dyDescent="0.2">
      <c r="A170" s="4"/>
      <c r="R170" s="4"/>
      <c r="S170" s="4"/>
      <c r="T170" s="4"/>
      <c r="U170" s="4"/>
      <c r="V170" s="4"/>
      <c r="W170" s="4"/>
      <c r="X170" s="4"/>
      <c r="Y170" s="4"/>
      <c r="Z170" s="4"/>
      <c r="AA170" s="4"/>
      <c r="AB170" s="4"/>
      <c r="AC170" s="4"/>
      <c r="AD170" s="4"/>
      <c r="AE170" s="4"/>
      <c r="AF170" s="4"/>
      <c r="AG170" s="4"/>
      <c r="AH170" s="4"/>
      <c r="AI170" s="4"/>
      <c r="AJ170" s="4"/>
      <c r="AK170" s="4"/>
      <c r="AL170" s="4"/>
      <c r="AM170" s="4"/>
    </row>
    <row r="171" spans="1:39" x14ac:dyDescent="0.2">
      <c r="A171" s="4"/>
      <c r="R171" s="4"/>
      <c r="S171" s="4"/>
      <c r="T171" s="4"/>
      <c r="U171" s="4"/>
      <c r="V171" s="4"/>
      <c r="W171" s="4"/>
      <c r="X171" s="4"/>
      <c r="Y171" s="4"/>
      <c r="Z171" s="4"/>
      <c r="AA171" s="4"/>
      <c r="AB171" s="4"/>
      <c r="AC171" s="4"/>
      <c r="AD171" s="4"/>
      <c r="AE171" s="4"/>
      <c r="AF171" s="4"/>
      <c r="AG171" s="4"/>
      <c r="AH171" s="4"/>
      <c r="AI171" s="4"/>
      <c r="AJ171" s="4"/>
      <c r="AK171" s="4"/>
      <c r="AL171" s="4"/>
      <c r="AM171" s="4"/>
    </row>
    <row r="172" spans="1:39" x14ac:dyDescent="0.2">
      <c r="A172" s="4"/>
      <c r="R172" s="4"/>
      <c r="S172" s="4"/>
      <c r="T172" s="4"/>
      <c r="U172" s="4"/>
      <c r="V172" s="4"/>
      <c r="W172" s="4"/>
      <c r="X172" s="4"/>
      <c r="Y172" s="4"/>
      <c r="Z172" s="4"/>
      <c r="AA172" s="4"/>
      <c r="AB172" s="4"/>
      <c r="AC172" s="4"/>
      <c r="AD172" s="4"/>
      <c r="AE172" s="4"/>
      <c r="AF172" s="4"/>
      <c r="AG172" s="4"/>
      <c r="AH172" s="4"/>
      <c r="AI172" s="4"/>
      <c r="AJ172" s="4"/>
      <c r="AK172" s="4"/>
      <c r="AL172" s="4"/>
      <c r="AM172" s="4"/>
    </row>
    <row r="173" spans="1:39" x14ac:dyDescent="0.2">
      <c r="A173" s="4"/>
      <c r="R173" s="4"/>
      <c r="S173" s="4"/>
      <c r="T173" s="4"/>
      <c r="U173" s="4"/>
      <c r="V173" s="4"/>
      <c r="W173" s="4"/>
      <c r="X173" s="4"/>
      <c r="Y173" s="4"/>
      <c r="Z173" s="4"/>
      <c r="AA173" s="4"/>
      <c r="AB173" s="4"/>
      <c r="AC173" s="4"/>
      <c r="AD173" s="4"/>
      <c r="AE173" s="4"/>
      <c r="AF173" s="4"/>
      <c r="AG173" s="4"/>
      <c r="AH173" s="4"/>
      <c r="AI173" s="4"/>
      <c r="AJ173" s="4"/>
      <c r="AK173" s="4"/>
      <c r="AL173" s="4"/>
      <c r="AM173" s="4"/>
    </row>
    <row r="174" spans="1:39" x14ac:dyDescent="0.2">
      <c r="A174" s="4"/>
      <c r="R174" s="4"/>
      <c r="S174" s="4"/>
      <c r="T174" s="4"/>
      <c r="U174" s="4"/>
      <c r="V174" s="4"/>
      <c r="W174" s="4"/>
      <c r="X174" s="4"/>
      <c r="Y174" s="4"/>
      <c r="Z174" s="4"/>
      <c r="AA174" s="4"/>
      <c r="AB174" s="4"/>
      <c r="AC174" s="4"/>
      <c r="AD174" s="4"/>
      <c r="AE174" s="4"/>
      <c r="AF174" s="4"/>
      <c r="AG174" s="4"/>
      <c r="AH174" s="4"/>
      <c r="AI174" s="4"/>
      <c r="AJ174" s="4"/>
      <c r="AK174" s="4"/>
      <c r="AL174" s="4"/>
      <c r="AM174" s="4"/>
    </row>
    <row r="175" spans="1:39" x14ac:dyDescent="0.2">
      <c r="A175" s="4"/>
      <c r="R175" s="4"/>
      <c r="S175" s="4"/>
      <c r="T175" s="4"/>
      <c r="U175" s="4"/>
      <c r="V175" s="4"/>
      <c r="W175" s="4"/>
      <c r="X175" s="4"/>
      <c r="Y175" s="4"/>
      <c r="Z175" s="4"/>
      <c r="AA175" s="4"/>
      <c r="AB175" s="4"/>
      <c r="AC175" s="4"/>
      <c r="AD175" s="4"/>
      <c r="AE175" s="4"/>
      <c r="AF175" s="4"/>
      <c r="AG175" s="4"/>
      <c r="AH175" s="4"/>
      <c r="AI175" s="4"/>
      <c r="AJ175" s="4"/>
      <c r="AK175" s="4"/>
      <c r="AL175" s="4"/>
      <c r="AM175" s="4"/>
    </row>
    <row r="176" spans="1:39" x14ac:dyDescent="0.2">
      <c r="A176" s="4"/>
      <c r="R176" s="4"/>
      <c r="S176" s="4"/>
      <c r="T176" s="4"/>
      <c r="U176" s="4"/>
      <c r="V176" s="4"/>
      <c r="W176" s="4"/>
      <c r="X176" s="4"/>
      <c r="Y176" s="4"/>
      <c r="Z176" s="4"/>
      <c r="AA176" s="4"/>
      <c r="AB176" s="4"/>
      <c r="AC176" s="4"/>
      <c r="AD176" s="4"/>
      <c r="AE176" s="4"/>
      <c r="AF176" s="4"/>
      <c r="AG176" s="4"/>
      <c r="AH176" s="4"/>
      <c r="AI176" s="4"/>
      <c r="AJ176" s="4"/>
      <c r="AK176" s="4"/>
      <c r="AL176" s="4"/>
      <c r="AM176" s="4"/>
    </row>
    <row r="177" spans="1:39" x14ac:dyDescent="0.2">
      <c r="A177" s="4"/>
      <c r="R177" s="4"/>
      <c r="S177" s="4"/>
      <c r="T177" s="4"/>
      <c r="U177" s="4"/>
      <c r="V177" s="4"/>
      <c r="W177" s="4"/>
      <c r="X177" s="4"/>
      <c r="Y177" s="4"/>
      <c r="Z177" s="4"/>
      <c r="AA177" s="4"/>
      <c r="AB177" s="4"/>
      <c r="AC177" s="4"/>
      <c r="AD177" s="4"/>
      <c r="AE177" s="4"/>
      <c r="AF177" s="4"/>
      <c r="AG177" s="4"/>
      <c r="AH177" s="4"/>
      <c r="AI177" s="4"/>
      <c r="AJ177" s="4"/>
      <c r="AK177" s="4"/>
      <c r="AL177" s="4"/>
      <c r="AM177" s="4"/>
    </row>
    <row r="178" spans="1:39" x14ac:dyDescent="0.2">
      <c r="A178" s="4"/>
      <c r="R178" s="4"/>
      <c r="S178" s="4"/>
      <c r="T178" s="4"/>
      <c r="U178" s="4"/>
      <c r="V178" s="4"/>
      <c r="W178" s="4"/>
      <c r="X178" s="4"/>
      <c r="Y178" s="4"/>
      <c r="Z178" s="4"/>
      <c r="AA178" s="4"/>
      <c r="AB178" s="4"/>
      <c r="AC178" s="4"/>
      <c r="AD178" s="4"/>
      <c r="AE178" s="4"/>
      <c r="AF178" s="4"/>
      <c r="AG178" s="4"/>
      <c r="AH178" s="4"/>
      <c r="AI178" s="4"/>
      <c r="AJ178" s="4"/>
      <c r="AK178" s="4"/>
      <c r="AL178" s="4"/>
      <c r="AM178" s="4"/>
    </row>
    <row r="179" spans="1:39" x14ac:dyDescent="0.2">
      <c r="A179" s="4"/>
      <c r="R179" s="4"/>
      <c r="S179" s="4"/>
      <c r="T179" s="4"/>
      <c r="U179" s="4"/>
      <c r="V179" s="4"/>
      <c r="W179" s="4"/>
      <c r="X179" s="4"/>
      <c r="Y179" s="4"/>
      <c r="Z179" s="4"/>
      <c r="AA179" s="4"/>
      <c r="AB179" s="4"/>
      <c r="AC179" s="4"/>
      <c r="AD179" s="4"/>
      <c r="AE179" s="4"/>
      <c r="AF179" s="4"/>
      <c r="AG179" s="4"/>
      <c r="AH179" s="4"/>
      <c r="AI179" s="4"/>
      <c r="AJ179" s="4"/>
      <c r="AK179" s="4"/>
      <c r="AL179" s="4"/>
      <c r="AM179" s="4"/>
    </row>
    <row r="180" spans="1:39" x14ac:dyDescent="0.2">
      <c r="A180" s="4"/>
      <c r="R180" s="4"/>
      <c r="S180" s="4"/>
      <c r="T180" s="4"/>
      <c r="U180" s="4"/>
      <c r="V180" s="4"/>
      <c r="W180" s="4"/>
      <c r="X180" s="4"/>
      <c r="Y180" s="4"/>
      <c r="Z180" s="4"/>
      <c r="AA180" s="4"/>
      <c r="AB180" s="4"/>
      <c r="AC180" s="4"/>
      <c r="AD180" s="4"/>
      <c r="AE180" s="4"/>
      <c r="AF180" s="4"/>
      <c r="AG180" s="4"/>
      <c r="AH180" s="4"/>
      <c r="AI180" s="4"/>
      <c r="AJ180" s="4"/>
      <c r="AK180" s="4"/>
      <c r="AL180" s="4"/>
      <c r="AM180" s="4"/>
    </row>
    <row r="181" spans="1:39" x14ac:dyDescent="0.2">
      <c r="A181" s="4"/>
      <c r="R181" s="4"/>
      <c r="S181" s="4"/>
      <c r="T181" s="4"/>
      <c r="U181" s="4"/>
      <c r="V181" s="4"/>
      <c r="W181" s="4"/>
      <c r="X181" s="4"/>
      <c r="Y181" s="4"/>
      <c r="Z181" s="4"/>
      <c r="AA181" s="4"/>
      <c r="AB181" s="4"/>
      <c r="AC181" s="4"/>
      <c r="AD181" s="4"/>
      <c r="AE181" s="4"/>
      <c r="AF181" s="4"/>
      <c r="AG181" s="4"/>
      <c r="AH181" s="4"/>
      <c r="AI181" s="4"/>
      <c r="AJ181" s="4"/>
      <c r="AK181" s="4"/>
      <c r="AL181" s="4"/>
      <c r="AM181" s="4"/>
    </row>
    <row r="182" spans="1:39" x14ac:dyDescent="0.2">
      <c r="A182" s="4"/>
      <c r="R182" s="4"/>
      <c r="S182" s="4"/>
      <c r="T182" s="4"/>
      <c r="U182" s="4"/>
      <c r="V182" s="4"/>
      <c r="W182" s="4"/>
      <c r="X182" s="4"/>
      <c r="Y182" s="4"/>
      <c r="Z182" s="4"/>
      <c r="AA182" s="4"/>
      <c r="AB182" s="4"/>
      <c r="AC182" s="4"/>
      <c r="AD182" s="4"/>
      <c r="AE182" s="4"/>
      <c r="AF182" s="4"/>
      <c r="AG182" s="4"/>
      <c r="AH182" s="4"/>
      <c r="AI182" s="4"/>
      <c r="AJ182" s="4"/>
      <c r="AK182" s="4"/>
      <c r="AL182" s="4"/>
      <c r="AM182" s="4"/>
    </row>
    <row r="183" spans="1:39" x14ac:dyDescent="0.2">
      <c r="A183" s="4"/>
      <c r="R183" s="4"/>
      <c r="S183" s="4"/>
      <c r="T183" s="4"/>
      <c r="U183" s="4"/>
      <c r="V183" s="4"/>
      <c r="W183" s="4"/>
      <c r="X183" s="4"/>
      <c r="Y183" s="4"/>
      <c r="Z183" s="4"/>
      <c r="AA183" s="4"/>
      <c r="AB183" s="4"/>
      <c r="AC183" s="4"/>
      <c r="AD183" s="4"/>
      <c r="AE183" s="4"/>
      <c r="AF183" s="4"/>
      <c r="AG183" s="4"/>
      <c r="AH183" s="4"/>
      <c r="AI183" s="4"/>
      <c r="AJ183" s="4"/>
      <c r="AK183" s="4"/>
      <c r="AL183" s="4"/>
      <c r="AM183" s="4"/>
    </row>
    <row r="184" spans="1:39" x14ac:dyDescent="0.2">
      <c r="A184" s="4"/>
      <c r="R184" s="4"/>
      <c r="S184" s="4"/>
      <c r="T184" s="4"/>
      <c r="U184" s="4"/>
      <c r="V184" s="4"/>
      <c r="W184" s="4"/>
      <c r="X184" s="4"/>
      <c r="Y184" s="4"/>
      <c r="Z184" s="4"/>
      <c r="AA184" s="4"/>
      <c r="AB184" s="4"/>
      <c r="AC184" s="4"/>
      <c r="AD184" s="4"/>
      <c r="AE184" s="4"/>
      <c r="AF184" s="4"/>
      <c r="AG184" s="4"/>
      <c r="AH184" s="4"/>
      <c r="AI184" s="4"/>
      <c r="AJ184" s="4"/>
      <c r="AK184" s="4"/>
      <c r="AL184" s="4"/>
      <c r="AM184" s="4"/>
    </row>
    <row r="185" spans="1:39" x14ac:dyDescent="0.2">
      <c r="A185" s="4"/>
      <c r="R185" s="4"/>
      <c r="S185" s="4"/>
      <c r="T185" s="4"/>
      <c r="U185" s="4"/>
      <c r="V185" s="4"/>
      <c r="W185" s="4"/>
      <c r="X185" s="4"/>
      <c r="Y185" s="4"/>
      <c r="Z185" s="4"/>
      <c r="AA185" s="4"/>
      <c r="AB185" s="4"/>
      <c r="AC185" s="4"/>
      <c r="AD185" s="4"/>
      <c r="AE185" s="4"/>
      <c r="AF185" s="4"/>
      <c r="AG185" s="4"/>
      <c r="AH185" s="4"/>
      <c r="AI185" s="4"/>
      <c r="AJ185" s="4"/>
      <c r="AK185" s="4"/>
      <c r="AL185" s="4"/>
      <c r="AM185" s="4"/>
    </row>
    <row r="186" spans="1:39" x14ac:dyDescent="0.2">
      <c r="A186" s="4"/>
      <c r="R186" s="4"/>
      <c r="S186" s="4"/>
      <c r="T186" s="4"/>
      <c r="U186" s="4"/>
      <c r="V186" s="4"/>
      <c r="W186" s="4"/>
      <c r="X186" s="4"/>
      <c r="Y186" s="4"/>
      <c r="Z186" s="4"/>
      <c r="AA186" s="4"/>
      <c r="AB186" s="4"/>
      <c r="AC186" s="4"/>
      <c r="AD186" s="4"/>
      <c r="AE186" s="4"/>
      <c r="AF186" s="4"/>
      <c r="AG186" s="4"/>
      <c r="AH186" s="4"/>
      <c r="AI186" s="4"/>
      <c r="AJ186" s="4"/>
      <c r="AK186" s="4"/>
      <c r="AL186" s="4"/>
      <c r="AM186" s="4"/>
    </row>
    <row r="187" spans="1:39" x14ac:dyDescent="0.2">
      <c r="A187" s="4"/>
      <c r="R187" s="4"/>
      <c r="S187" s="4"/>
      <c r="T187" s="4"/>
      <c r="U187" s="4"/>
      <c r="V187" s="4"/>
      <c r="W187" s="4"/>
      <c r="X187" s="4"/>
      <c r="Y187" s="4"/>
      <c r="Z187" s="4"/>
      <c r="AA187" s="4"/>
      <c r="AB187" s="4"/>
      <c r="AC187" s="4"/>
      <c r="AD187" s="4"/>
      <c r="AE187" s="4"/>
      <c r="AF187" s="4"/>
      <c r="AG187" s="4"/>
      <c r="AH187" s="4"/>
      <c r="AI187" s="4"/>
      <c r="AJ187" s="4"/>
      <c r="AK187" s="4"/>
      <c r="AL187" s="4"/>
      <c r="AM187" s="4"/>
    </row>
    <row r="188" spans="1:39" x14ac:dyDescent="0.2">
      <c r="A188" s="4"/>
      <c r="R188" s="4"/>
      <c r="S188" s="4"/>
      <c r="T188" s="4"/>
      <c r="U188" s="4"/>
      <c r="V188" s="4"/>
      <c r="W188" s="4"/>
      <c r="X188" s="4"/>
      <c r="Y188" s="4"/>
      <c r="Z188" s="4"/>
      <c r="AA188" s="4"/>
      <c r="AB188" s="4"/>
      <c r="AC188" s="4"/>
      <c r="AD188" s="4"/>
      <c r="AE188" s="4"/>
      <c r="AF188" s="4"/>
      <c r="AG188" s="4"/>
      <c r="AH188" s="4"/>
      <c r="AI188" s="4"/>
      <c r="AJ188" s="4"/>
      <c r="AK188" s="4"/>
      <c r="AL188" s="4"/>
      <c r="AM188" s="4"/>
    </row>
    <row r="189" spans="1:39" x14ac:dyDescent="0.2">
      <c r="A189" s="4"/>
      <c r="R189" s="4"/>
      <c r="S189" s="4"/>
      <c r="T189" s="4"/>
      <c r="U189" s="4"/>
      <c r="V189" s="4"/>
      <c r="W189" s="4"/>
      <c r="X189" s="4"/>
      <c r="Y189" s="4"/>
      <c r="Z189" s="4"/>
      <c r="AA189" s="4"/>
      <c r="AB189" s="4"/>
      <c r="AC189" s="4"/>
      <c r="AD189" s="4"/>
      <c r="AE189" s="4"/>
      <c r="AF189" s="4"/>
      <c r="AG189" s="4"/>
      <c r="AH189" s="4"/>
      <c r="AI189" s="4"/>
      <c r="AJ189" s="4"/>
      <c r="AK189" s="4"/>
      <c r="AL189" s="4"/>
      <c r="AM189" s="4"/>
    </row>
    <row r="190" spans="1:39" x14ac:dyDescent="0.2">
      <c r="A190" s="4"/>
      <c r="R190" s="4"/>
      <c r="S190" s="4"/>
      <c r="T190" s="4"/>
      <c r="U190" s="4"/>
      <c r="V190" s="4"/>
      <c r="W190" s="4"/>
      <c r="X190" s="4"/>
      <c r="Y190" s="4"/>
      <c r="Z190" s="4"/>
      <c r="AA190" s="4"/>
      <c r="AB190" s="4"/>
      <c r="AC190" s="4"/>
      <c r="AD190" s="4"/>
      <c r="AE190" s="4"/>
      <c r="AF190" s="4"/>
      <c r="AG190" s="4"/>
      <c r="AH190" s="4"/>
      <c r="AI190" s="4"/>
      <c r="AJ190" s="4"/>
      <c r="AK190" s="4"/>
      <c r="AL190" s="4"/>
      <c r="AM190" s="4"/>
    </row>
    <row r="191" spans="1:39" x14ac:dyDescent="0.2">
      <c r="A191" s="4"/>
      <c r="R191" s="4"/>
      <c r="S191" s="4"/>
      <c r="T191" s="4"/>
      <c r="U191" s="4"/>
      <c r="V191" s="4"/>
      <c r="W191" s="4"/>
      <c r="X191" s="4"/>
      <c r="Y191" s="4"/>
      <c r="Z191" s="4"/>
      <c r="AA191" s="4"/>
      <c r="AB191" s="4"/>
      <c r="AC191" s="4"/>
      <c r="AD191" s="4"/>
      <c r="AE191" s="4"/>
      <c r="AF191" s="4"/>
      <c r="AG191" s="4"/>
      <c r="AH191" s="4"/>
      <c r="AI191" s="4"/>
      <c r="AJ191" s="4"/>
      <c r="AK191" s="4"/>
      <c r="AL191" s="4"/>
      <c r="AM191" s="4"/>
    </row>
    <row r="192" spans="1:39" x14ac:dyDescent="0.2">
      <c r="A192" s="4"/>
      <c r="R192" s="4"/>
      <c r="S192" s="4"/>
      <c r="T192" s="4"/>
      <c r="U192" s="4"/>
      <c r="V192" s="4"/>
      <c r="W192" s="4"/>
      <c r="X192" s="4"/>
      <c r="Y192" s="4"/>
      <c r="Z192" s="4"/>
      <c r="AA192" s="4"/>
      <c r="AB192" s="4"/>
      <c r="AC192" s="4"/>
      <c r="AD192" s="4"/>
      <c r="AE192" s="4"/>
      <c r="AF192" s="4"/>
      <c r="AG192" s="4"/>
      <c r="AH192" s="4"/>
      <c r="AI192" s="4"/>
      <c r="AJ192" s="4"/>
      <c r="AK192" s="4"/>
      <c r="AL192" s="4"/>
      <c r="AM192" s="4"/>
    </row>
    <row r="193" spans="1:39" x14ac:dyDescent="0.2">
      <c r="A193" s="4"/>
      <c r="R193" s="4"/>
      <c r="S193" s="4"/>
      <c r="T193" s="4"/>
      <c r="U193" s="4"/>
      <c r="V193" s="4"/>
      <c r="W193" s="4"/>
      <c r="X193" s="4"/>
      <c r="Y193" s="4"/>
      <c r="Z193" s="4"/>
      <c r="AA193" s="4"/>
      <c r="AB193" s="4"/>
      <c r="AC193" s="4"/>
      <c r="AD193" s="4"/>
      <c r="AE193" s="4"/>
      <c r="AF193" s="4"/>
      <c r="AG193" s="4"/>
      <c r="AH193" s="4"/>
      <c r="AI193" s="4"/>
      <c r="AJ193" s="4"/>
      <c r="AK193" s="4"/>
      <c r="AL193" s="4"/>
      <c r="AM193" s="4"/>
    </row>
    <row r="194" spans="1:39" x14ac:dyDescent="0.2">
      <c r="A194" s="4"/>
      <c r="R194" s="4"/>
      <c r="S194" s="4"/>
      <c r="T194" s="4"/>
      <c r="U194" s="4"/>
      <c r="V194" s="4"/>
      <c r="W194" s="4"/>
      <c r="X194" s="4"/>
      <c r="Y194" s="4"/>
      <c r="Z194" s="4"/>
      <c r="AA194" s="4"/>
      <c r="AB194" s="4"/>
      <c r="AC194" s="4"/>
      <c r="AD194" s="4"/>
      <c r="AE194" s="4"/>
      <c r="AF194" s="4"/>
      <c r="AG194" s="4"/>
      <c r="AH194" s="4"/>
      <c r="AI194" s="4"/>
      <c r="AJ194" s="4"/>
      <c r="AK194" s="4"/>
      <c r="AL194" s="4"/>
      <c r="AM194" s="4"/>
    </row>
    <row r="195" spans="1:39" x14ac:dyDescent="0.2">
      <c r="A195" s="4"/>
      <c r="R195" s="4"/>
      <c r="S195" s="4"/>
      <c r="T195" s="4"/>
      <c r="U195" s="4"/>
      <c r="V195" s="4"/>
      <c r="W195" s="4"/>
      <c r="X195" s="4"/>
      <c r="Y195" s="4"/>
      <c r="Z195" s="4"/>
      <c r="AA195" s="4"/>
      <c r="AB195" s="4"/>
      <c r="AC195" s="4"/>
      <c r="AD195" s="4"/>
      <c r="AE195" s="4"/>
      <c r="AF195" s="4"/>
      <c r="AG195" s="4"/>
      <c r="AH195" s="4"/>
      <c r="AI195" s="4"/>
      <c r="AJ195" s="4"/>
      <c r="AK195" s="4"/>
      <c r="AL195" s="4"/>
      <c r="AM195" s="4"/>
    </row>
    <row r="196" spans="1:39" x14ac:dyDescent="0.2">
      <c r="A196" s="4"/>
      <c r="R196" s="4"/>
      <c r="S196" s="4"/>
      <c r="T196" s="4"/>
      <c r="U196" s="4"/>
      <c r="V196" s="4"/>
      <c r="W196" s="4"/>
      <c r="X196" s="4"/>
      <c r="Y196" s="4"/>
      <c r="Z196" s="4"/>
      <c r="AA196" s="4"/>
      <c r="AB196" s="4"/>
      <c r="AC196" s="4"/>
      <c r="AD196" s="4"/>
      <c r="AE196" s="4"/>
      <c r="AF196" s="4"/>
      <c r="AG196" s="4"/>
      <c r="AH196" s="4"/>
      <c r="AI196" s="4"/>
      <c r="AJ196" s="4"/>
      <c r="AK196" s="4"/>
      <c r="AL196" s="4"/>
      <c r="AM196" s="4"/>
    </row>
    <row r="197" spans="1:39" x14ac:dyDescent="0.2">
      <c r="A197" s="4"/>
      <c r="R197" s="4"/>
      <c r="S197" s="4"/>
      <c r="T197" s="4"/>
      <c r="U197" s="4"/>
      <c r="V197" s="4"/>
      <c r="W197" s="4"/>
      <c r="X197" s="4"/>
      <c r="Y197" s="4"/>
      <c r="Z197" s="4"/>
      <c r="AA197" s="4"/>
      <c r="AB197" s="4"/>
      <c r="AC197" s="4"/>
      <c r="AD197" s="4"/>
      <c r="AE197" s="4"/>
      <c r="AF197" s="4"/>
      <c r="AG197" s="4"/>
      <c r="AH197" s="4"/>
      <c r="AI197" s="4"/>
      <c r="AJ197" s="4"/>
      <c r="AK197" s="4"/>
      <c r="AL197" s="4"/>
      <c r="AM197" s="4"/>
    </row>
    <row r="198" spans="1:39" x14ac:dyDescent="0.2">
      <c r="A198" s="4"/>
      <c r="R198" s="4"/>
      <c r="S198" s="4"/>
      <c r="T198" s="4"/>
      <c r="U198" s="4"/>
      <c r="V198" s="4"/>
      <c r="W198" s="4"/>
      <c r="X198" s="4"/>
      <c r="Y198" s="4"/>
      <c r="Z198" s="4"/>
      <c r="AA198" s="4"/>
      <c r="AB198" s="4"/>
      <c r="AC198" s="4"/>
      <c r="AD198" s="4"/>
      <c r="AE198" s="4"/>
      <c r="AF198" s="4"/>
      <c r="AG198" s="4"/>
      <c r="AH198" s="4"/>
      <c r="AI198" s="4"/>
      <c r="AJ198" s="4"/>
      <c r="AK198" s="4"/>
      <c r="AL198" s="4"/>
      <c r="AM198" s="4"/>
    </row>
    <row r="199" spans="1:39" x14ac:dyDescent="0.2">
      <c r="A199" s="4"/>
      <c r="R199" s="4"/>
      <c r="S199" s="4"/>
      <c r="T199" s="4"/>
      <c r="U199" s="4"/>
      <c r="V199" s="4"/>
      <c r="W199" s="4"/>
      <c r="X199" s="4"/>
      <c r="Y199" s="4"/>
      <c r="Z199" s="4"/>
      <c r="AA199" s="4"/>
      <c r="AB199" s="4"/>
      <c r="AC199" s="4"/>
      <c r="AD199" s="4"/>
      <c r="AE199" s="4"/>
      <c r="AF199" s="4"/>
      <c r="AG199" s="4"/>
      <c r="AH199" s="4"/>
      <c r="AI199" s="4"/>
      <c r="AJ199" s="4"/>
      <c r="AK199" s="4"/>
      <c r="AL199" s="4"/>
      <c r="AM199" s="4"/>
    </row>
    <row r="200" spans="1:39" x14ac:dyDescent="0.2">
      <c r="A200" s="4"/>
      <c r="R200" s="4"/>
      <c r="S200" s="4"/>
      <c r="T200" s="4"/>
      <c r="U200" s="4"/>
      <c r="V200" s="4"/>
      <c r="W200" s="4"/>
      <c r="X200" s="4"/>
      <c r="Y200" s="4"/>
      <c r="Z200" s="4"/>
      <c r="AA200" s="4"/>
      <c r="AB200" s="4"/>
      <c r="AC200" s="4"/>
      <c r="AD200" s="4"/>
      <c r="AE200" s="4"/>
      <c r="AF200" s="4"/>
      <c r="AG200" s="4"/>
      <c r="AH200" s="4"/>
      <c r="AI200" s="4"/>
      <c r="AJ200" s="4"/>
      <c r="AK200" s="4"/>
      <c r="AL200" s="4"/>
      <c r="AM200" s="4"/>
    </row>
    <row r="201" spans="1:39" x14ac:dyDescent="0.2">
      <c r="A201" s="4"/>
      <c r="R201" s="4"/>
      <c r="S201" s="4"/>
      <c r="T201" s="4"/>
      <c r="U201" s="4"/>
      <c r="V201" s="4"/>
      <c r="W201" s="4"/>
      <c r="X201" s="4"/>
      <c r="Y201" s="4"/>
      <c r="Z201" s="4"/>
      <c r="AA201" s="4"/>
      <c r="AB201" s="4"/>
      <c r="AC201" s="4"/>
      <c r="AD201" s="4"/>
      <c r="AE201" s="4"/>
      <c r="AF201" s="4"/>
      <c r="AG201" s="4"/>
      <c r="AH201" s="4"/>
      <c r="AI201" s="4"/>
      <c r="AJ201" s="4"/>
      <c r="AK201" s="4"/>
      <c r="AL201" s="4"/>
      <c r="AM201" s="4"/>
    </row>
    <row r="202" spans="1:39" x14ac:dyDescent="0.2">
      <c r="A202" s="4"/>
      <c r="R202" s="4"/>
      <c r="S202" s="4"/>
      <c r="T202" s="4"/>
      <c r="U202" s="4"/>
      <c r="V202" s="4"/>
      <c r="W202" s="4"/>
      <c r="X202" s="4"/>
      <c r="Y202" s="4"/>
      <c r="Z202" s="4"/>
      <c r="AA202" s="4"/>
      <c r="AB202" s="4"/>
      <c r="AC202" s="4"/>
      <c r="AD202" s="4"/>
      <c r="AE202" s="4"/>
      <c r="AF202" s="4"/>
      <c r="AG202" s="4"/>
      <c r="AH202" s="4"/>
      <c r="AI202" s="4"/>
      <c r="AJ202" s="4"/>
      <c r="AK202" s="4"/>
      <c r="AL202" s="4"/>
      <c r="AM202" s="4"/>
    </row>
    <row r="203" spans="1:39" x14ac:dyDescent="0.2">
      <c r="A203" s="4"/>
      <c r="R203" s="4"/>
      <c r="S203" s="4"/>
      <c r="T203" s="4"/>
      <c r="U203" s="4"/>
      <c r="V203" s="4"/>
      <c r="W203" s="4"/>
      <c r="X203" s="4"/>
      <c r="Y203" s="4"/>
      <c r="Z203" s="4"/>
      <c r="AA203" s="4"/>
      <c r="AB203" s="4"/>
      <c r="AC203" s="4"/>
      <c r="AD203" s="4"/>
      <c r="AE203" s="4"/>
      <c r="AF203" s="4"/>
      <c r="AG203" s="4"/>
      <c r="AH203" s="4"/>
      <c r="AI203" s="4"/>
      <c r="AJ203" s="4"/>
      <c r="AK203" s="4"/>
      <c r="AL203" s="4"/>
      <c r="AM203" s="4"/>
    </row>
    <row r="204" spans="1:39" x14ac:dyDescent="0.2">
      <c r="A204" s="4"/>
      <c r="R204" s="4"/>
      <c r="S204" s="4"/>
      <c r="T204" s="4"/>
      <c r="U204" s="4"/>
      <c r="V204" s="4"/>
      <c r="W204" s="4"/>
      <c r="X204" s="4"/>
      <c r="Y204" s="4"/>
      <c r="Z204" s="4"/>
      <c r="AA204" s="4"/>
      <c r="AB204" s="4"/>
      <c r="AC204" s="4"/>
      <c r="AD204" s="4"/>
      <c r="AE204" s="4"/>
      <c r="AF204" s="4"/>
      <c r="AG204" s="4"/>
      <c r="AH204" s="4"/>
      <c r="AI204" s="4"/>
      <c r="AJ204" s="4"/>
      <c r="AK204" s="4"/>
      <c r="AL204" s="4"/>
      <c r="AM204" s="4"/>
    </row>
  </sheetData>
  <sheetProtection algorithmName="SHA-512" hashValue="xFDhSyaSzVdA2cXPGavqzeg55dOW3V1BiAQddpXK3UoYxltbg4Bei6895b4OTCyiEaLzKqpDrqZ5Z5dKdCzJOg==" saltValue="jCDkvDdkbNppxBkl7tDHKg==" spinCount="100000" sheet="1" selectLockedCells="1"/>
  <mergeCells count="2">
    <mergeCell ref="G3:I3"/>
    <mergeCell ref="B1:N1"/>
  </mergeCells>
  <conditionalFormatting sqref="G5:I34">
    <cfRule type="expression" dxfId="130" priority="1">
      <formula>$E5=""</formula>
    </cfRule>
  </conditionalFormatting>
  <dataValidations count="1">
    <dataValidation type="list" allowBlank="1" showInputMessage="1" showErrorMessage="1" sqref="E5:E34" xr:uid="{FCBD3419-D020-4D94-8BC7-C23011E34A13}">
      <formula1>List_Misc_Measure</formula1>
    </dataValidation>
  </dataValidations>
  <pageMargins left="0.7" right="0.7" top="0.75" bottom="0.75" header="0.3" footer="0.3"/>
  <pageSetup scale="75" fitToWidth="0" fitToHeight="0" orientation="landscape" verticalDpi="4294967293" r:id="rId1"/>
  <drawing r:id="rId2"/>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753b216e-e208-4445-90b7-cb0adfe82f5c" xsi:nil="true"/>
    <lcf76f155ced4ddcb4097134ff3c332f xmlns="753b216e-e208-4445-90b7-cb0adfe82f5c">
      <Terms xmlns="http://schemas.microsoft.com/office/infopath/2007/PartnerControls"/>
    </lcf76f155ced4ddcb4097134ff3c332f>
    <Comments xmlns="753b216e-e208-4445-90b7-cb0adfe82f5c" xsi:nil="true"/>
    <TaxCatchAll xmlns="6b2b484f-4c19-4c24-b89d-0399ef7e60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daf5a3b8-19fe-4aaf-8551-0b725c993cda"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63A77B8B12827240A2A3ED551A051FAD" ma:contentTypeVersion="19" ma:contentTypeDescription="Create a new document." ma:contentTypeScope="" ma:versionID="b75b1f8710df1cd426f4d5e9f368d1fa">
  <xsd:schema xmlns:xsd="http://www.w3.org/2001/XMLSchema" xmlns:xs="http://www.w3.org/2001/XMLSchema" xmlns:p="http://schemas.microsoft.com/office/2006/metadata/properties" xmlns:ns2="753b216e-e208-4445-90b7-cb0adfe82f5c" xmlns:ns3="405923a6-f60e-469d-8560-ac7b1a3d2c54" xmlns:ns4="6b2b484f-4c19-4c24-b89d-0399ef7e60bb" targetNamespace="http://schemas.microsoft.com/office/2006/metadata/properties" ma:root="true" ma:fieldsID="cf5619449892876f4cdf51cab2d67f0c" ns2:_="" ns3:_="" ns4:_="">
    <xsd:import namespace="753b216e-e208-4445-90b7-cb0adfe82f5c"/>
    <xsd:import namespace="405923a6-f60e-469d-8560-ac7b1a3d2c54"/>
    <xsd:import namespace="6b2b484f-4c19-4c24-b89d-0399ef7e60b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Status" minOccurs="0"/>
                <xsd:element ref="ns2:MediaLengthInSeconds" minOccurs="0"/>
                <xsd:element ref="ns3:SharedWithUsers" minOccurs="0"/>
                <xsd:element ref="ns3:SharedWithDetails" minOccurs="0"/>
                <xsd:element ref="ns2:lcf76f155ced4ddcb4097134ff3c332f" minOccurs="0"/>
                <xsd:element ref="ns4:TaxCatchAll" minOccurs="0"/>
                <xsd:element ref="ns2:Comme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3b216e-e208-4445-90b7-cb0adfe82f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Status" ma:index="18" nillable="true" ma:displayName="Status" ma:format="Dropdown" ma:internalName="Status">
      <xsd:simpleType>
        <xsd:restriction base="dms:Choice">
          <xsd:enumeration value="In Progress"/>
          <xsd:enumeration value="Draft"/>
          <xsd:enumeration value="Final"/>
          <xsd:enumeration value="Archived"/>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af5a3b8-19fe-4aaf-8551-0b725c993cda" ma:termSetId="09814cd3-568e-fe90-9814-8d621ff8fb84" ma:anchorId="fba54fb3-c3e1-fe81-a776-ca4b69148c4d" ma:open="true" ma:isKeyword="false">
      <xsd:complexType>
        <xsd:sequence>
          <xsd:element ref="pc:Terms" minOccurs="0" maxOccurs="1"/>
        </xsd:sequence>
      </xsd:complexType>
    </xsd:element>
    <xsd:element name="Comments" ma:index="25" nillable="true" ma:displayName="Comments" ma:format="Dropdown" ma:internalName="Comments">
      <xsd:simpleType>
        <xsd:restriction base="dms:Note">
          <xsd:maxLength value="255"/>
        </xsd:restrictio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5923a6-f60e-469d-8560-ac7b1a3d2c54"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b2b484f-4c19-4c24-b89d-0399ef7e60bb"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40c359fd-0401-4fb7-b333-7fe9b6ff300f}" ma:internalName="TaxCatchAll" ma:showField="CatchAllData" ma:web="6b2b484f-4c19-4c24-b89d-0399ef7e60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B6706F-DDF4-41B7-B137-65BA3C1C0B78}">
  <ds:schemaRefs>
    <ds:schemaRef ds:uri="http://purl.org/dc/elements/1.1/"/>
    <ds:schemaRef ds:uri="6b2b484f-4c19-4c24-b89d-0399ef7e60bb"/>
    <ds:schemaRef ds:uri="753b216e-e208-4445-90b7-cb0adfe82f5c"/>
    <ds:schemaRef ds:uri="http://schemas.microsoft.com/office/2006/metadata/properties"/>
    <ds:schemaRef ds:uri="http://purl.org/dc/terms/"/>
    <ds:schemaRef ds:uri="http://schemas.microsoft.com/office/2006/documentManagement/types"/>
    <ds:schemaRef ds:uri="http://purl.org/dc/dcmitype/"/>
    <ds:schemaRef ds:uri="405923a6-f60e-469d-8560-ac7b1a3d2c54"/>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B8F538E9-556C-4740-9384-70820DA6A959}">
  <ds:schemaRefs>
    <ds:schemaRef ds:uri="http://schemas.microsoft.com/sharepoint/v3/contenttype/forms"/>
  </ds:schemaRefs>
</ds:datastoreItem>
</file>

<file path=customXml/itemProps3.xml><?xml version="1.0" encoding="utf-8"?>
<ds:datastoreItem xmlns:ds="http://schemas.openxmlformats.org/officeDocument/2006/customXml" ds:itemID="{32E50F1C-15DA-45E9-ACE8-A9BF452DD6F1}">
  <ds:schemaRefs>
    <ds:schemaRef ds:uri="Microsoft.SharePoint.Taxonomy.ContentTypeSync"/>
  </ds:schemaRefs>
</ds:datastoreItem>
</file>

<file path=customXml/itemProps4.xml><?xml version="1.0" encoding="utf-8"?>
<ds:datastoreItem xmlns:ds="http://schemas.openxmlformats.org/officeDocument/2006/customXml" ds:itemID="{68D99784-ED7B-4FC1-8BDE-7B71ABED0F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3b216e-e208-4445-90b7-cb0adfe82f5c"/>
    <ds:schemaRef ds:uri="405923a6-f60e-469d-8560-ac7b1a3d2c54"/>
    <ds:schemaRef ds:uri="6b2b484f-4c19-4c24-b89d-0399ef7e60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45</vt:i4>
      </vt:variant>
    </vt:vector>
  </HeadingPairs>
  <TitlesOfParts>
    <vt:vector size="64" baseType="lpstr">
      <vt:lpstr>Intro</vt:lpstr>
      <vt:lpstr>Application</vt:lpstr>
      <vt:lpstr>Signature</vt:lpstr>
      <vt:lpstr>HVAC</vt:lpstr>
      <vt:lpstr>Refrigeration</vt:lpstr>
      <vt:lpstr>Com Kitchen</vt:lpstr>
      <vt:lpstr>Window Film</vt:lpstr>
      <vt:lpstr>Efficient Windows</vt:lpstr>
      <vt:lpstr>Misc</vt:lpstr>
      <vt:lpstr>Custom</vt:lpstr>
      <vt:lpstr>Summary</vt:lpstr>
      <vt:lpstr>Change Log</vt:lpstr>
      <vt:lpstr>Completion</vt:lpstr>
      <vt:lpstr>References</vt:lpstr>
      <vt:lpstr>HVAC Calcs</vt:lpstr>
      <vt:lpstr>Caps</vt:lpstr>
      <vt:lpstr>QC</vt:lpstr>
      <vt:lpstr>Proj Data</vt:lpstr>
      <vt:lpstr>APTracks Export Data</vt:lpstr>
      <vt:lpstr>Gross_Proj_Cost</vt:lpstr>
      <vt:lpstr>Input_AvgkWhRate</vt:lpstr>
      <vt:lpstr>Input_BldgType</vt:lpstr>
      <vt:lpstr>Input_Bonus</vt:lpstr>
      <vt:lpstr>Input_BonusMeasureNumber</vt:lpstr>
      <vt:lpstr>Input_HVACType</vt:lpstr>
      <vt:lpstr>Input_ProgramType</vt:lpstr>
      <vt:lpstr>Input_ProjectNumber</vt:lpstr>
      <vt:lpstr>Input_Usage</vt:lpstr>
      <vt:lpstr>List_Biz_Class</vt:lpstr>
      <vt:lpstr>List_Bldg_Types</vt:lpstr>
      <vt:lpstr>List_ComKitch_Measure</vt:lpstr>
      <vt:lpstr>List_Contacts</vt:lpstr>
      <vt:lpstr>List_Custom_Class</vt:lpstr>
      <vt:lpstr>List_Custom_HVAC</vt:lpstr>
      <vt:lpstr>List_Custom_Type</vt:lpstr>
      <vt:lpstr>List_DBE_Option</vt:lpstr>
      <vt:lpstr>List_EffWindow_Direction</vt:lpstr>
      <vt:lpstr>List_EffWindow_Measure</vt:lpstr>
      <vt:lpstr>List_HVAC</vt:lpstr>
      <vt:lpstr>List_HVAC_Measure</vt:lpstr>
      <vt:lpstr>List_Install_Type</vt:lpstr>
      <vt:lpstr>List_Misc_Measure</vt:lpstr>
      <vt:lpstr>List_Ownership</vt:lpstr>
      <vt:lpstr>'Efficient Windows'!List_Program_Names</vt:lpstr>
      <vt:lpstr>List_Program_Names</vt:lpstr>
      <vt:lpstr>List_Project_Stage</vt:lpstr>
      <vt:lpstr>List_Refrig_Measure</vt:lpstr>
      <vt:lpstr>List_Source</vt:lpstr>
      <vt:lpstr>List_Tax_Entity</vt:lpstr>
      <vt:lpstr>List_Water_Heating</vt:lpstr>
      <vt:lpstr>List_WinFilm_Direction</vt:lpstr>
      <vt:lpstr>List_WinFilm_Measure</vt:lpstr>
      <vt:lpstr>List_Y_N</vt:lpstr>
      <vt:lpstr>List_Y_N_U</vt:lpstr>
      <vt:lpstr>Net_Project_Cost</vt:lpstr>
      <vt:lpstr>Project_Energy_Savings</vt:lpstr>
      <vt:lpstr>Subtotal_CustomIncentive</vt:lpstr>
      <vt:lpstr>Total_Incentive</vt:lpstr>
      <vt:lpstr>Value_Application_Version</vt:lpstr>
      <vt:lpstr>Value_Bonus_Rate</vt:lpstr>
      <vt:lpstr>Value_Cus_IncentRate</vt:lpstr>
      <vt:lpstr>Value_FastTrack_Limit</vt:lpstr>
      <vt:lpstr>Value_Measure_CAP</vt:lpstr>
      <vt:lpstr>Value_Project_CAP</vt:lpstr>
    </vt:vector>
  </TitlesOfParts>
  <Manager/>
  <Company>Chicago Bridge &amp; Iron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Kurtz, Spencer</dc:creator>
  <cp:keywords/>
  <dc:description/>
  <cp:lastModifiedBy>Ellerd, Dawn</cp:lastModifiedBy>
  <cp:revision/>
  <dcterms:created xsi:type="dcterms:W3CDTF">2017-02-21T18:38:33Z</dcterms:created>
  <dcterms:modified xsi:type="dcterms:W3CDTF">2024-01-16T20:17:13Z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0x01010063A77B8B12827240A2A3ED551A051FAD</vt:lpwstr>
  </property>
  <property fmtid="{D5CDD505-2E9C-101B-9397-08002B2CF9AE}" pid="3" name="MediaServiceImageTags">
    <vt:lpwstr/>
  </property>
</Properties>
</file>